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717787c0d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7d7cfffc7d847c0"/>
    <x:sheet xmlns:r="http://schemas.openxmlformats.org/officeDocument/2006/relationships" name="Assumptions" sheetId="2" r:id="R14546f44a33b42c2"/>
    <x:sheet xmlns:r="http://schemas.openxmlformats.org/officeDocument/2006/relationships" name="Date_Dim" sheetId="3" r:id="R433fcd8aaff74c80"/>
    <x:sheet xmlns:r="http://schemas.openxmlformats.org/officeDocument/2006/relationships" name="Account_Map" sheetId="4" r:id="R6910f3bf04f2424b"/>
    <x:sheet xmlns:r="http://schemas.openxmlformats.org/officeDocument/2006/relationships" name="Data_Dictionary" sheetId="5" r:id="R23cf192727604ea7"/>
    <x:sheet xmlns:r="http://schemas.openxmlformats.org/officeDocument/2006/relationships" name="Income_Statement_Data" sheetId="6" r:id="R5712618ba2174374"/>
    <x:sheet xmlns:r="http://schemas.openxmlformats.org/officeDocument/2006/relationships" name="Balance_Sheet_Data" sheetId="7" r:id="R380c3136a2b74238"/>
    <x:sheet xmlns:r="http://schemas.openxmlformats.org/officeDocument/2006/relationships" name="Supplemental_Movements" sheetId="8" r:id="Ra367ad38f46a44ad"/>
    <x:sheet xmlns:r="http://schemas.openxmlformats.org/officeDocument/2006/relationships" name="Financial_Statements" sheetId="9" r:id="R293d5ac0f7d14f3b"/>
    <x:sheet xmlns:r="http://schemas.openxmlformats.org/officeDocument/2006/relationships" name="Cash_Flow_Model" sheetId="10" r:id="R7d5d9e21af7e49f3"/>
    <x:sheet xmlns:r="http://schemas.openxmlformats.org/officeDocument/2006/relationships" name="KPI_Summary" sheetId="11" r:id="R6ff662bfd3174c1d"/>
    <x:sheet xmlns:r="http://schemas.openxmlformats.org/officeDocument/2006/relationships" name="KPI_Catalog" sheetId="12" r:id="Rcc0dc53733194d5f"/>
    <x:sheet xmlns:r="http://schemas.openxmlformats.org/officeDocument/2006/relationships" name="Checks" sheetId="13" r:id="R4524314e79b948c7"/>
    <x:sheet xmlns:r="http://schemas.openxmlformats.org/officeDocument/2006/relationships" name="Analysis_Dashboard" sheetId="14" r:id="Rd9d60a72a40d405b"/>
    <x:sheet xmlns:r="http://schemas.openxmlformats.org/officeDocument/2006/relationships" name="Insights_Decisions" sheetId="15" r:id="Rc3f273a0fe5d481e"/>
    <x:sheet xmlns:r="http://schemas.openxmlformats.org/officeDocument/2006/relationships" name="Story_Blueprint" sheetId="16" r:id="R6768a14333384f12"/>
    <x:sheet xmlns:r="http://schemas.openxmlformats.org/officeDocument/2006/relationships" name="Dashboard_Architecture" sheetId="17" r:id="R2fd013de97984f3d"/>
    <x:sheet xmlns:r="http://schemas.openxmlformats.org/officeDocument/2006/relationships" name="Dashboard_Visual_Spec" sheetId="18" r:id="R5dd9ee8f4b8f4040"/>
    <x:sheet xmlns:r="http://schemas.openxmlformats.org/officeDocument/2006/relationships" name="Dashboard_Alerts" sheetId="19" r:id="Rdafb920d744a4292"/>
    <x:sheet xmlns:r="http://schemas.openxmlformats.org/officeDocument/2006/relationships" name="Dashboard_Wireframes" sheetId="20" r:id="Raee6a43b427744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€ #,##0;[Black]-€ #,##0"/>
    <x:numFmt numFmtId="201" formatCode="0.0%"/>
    <x:numFmt numFmtId="202" formatCode="0.00x"/>
    <x:numFmt numFmtId="203" formatCode="0.0 &quot;días&quot;"/>
    <x:numFmt numFmtId="204" formatCode="0.0"/>
    <x:numFmt numFmtId="205" formatCode="#,##0;[Black]-#,##0"/>
    <x:numFmt numFmtId="206" formatCode="€ #,##0,,&quot; M&quot;"/>
  </x:numFmts>
  <x:fonts count="23">
    <x:font>
      <x:sz val="11"/>
      <x:name val="Carlito"/>
    </x:font>
    <x:font>
      <x:b/>
      <x:sz val="18"/>
      <x:color rgb="FFFFFFFF"/>
      <x:name val="Carlito"/>
    </x:font>
    <x:font>
      <x:i/>
      <x:sz val="10"/>
      <x:color rgb="FF0B1F26"/>
      <x:name val="Carlito"/>
    </x:font>
    <x:font>
      <x:b/>
      <x:sz val="11"/>
      <x:color rgb="FFFFFFFF"/>
      <x:name val="Carlito"/>
    </x:font>
    <x:font>
      <x:b/>
      <x:sz val="11"/>
      <x:color rgb="FF006C70"/>
      <x:name val="Carlito"/>
    </x:font>
    <x:font>
      <x:b/>
      <x:sz val="11"/>
      <x:color rgb="FF0B1F26"/>
      <x:name val="Carlito"/>
    </x:font>
    <x:font>
      <x:sz val="11"/>
      <x:color rgb="FF0B1F26"/>
      <x:name val="Carlito"/>
    </x:font>
    <x:font>
      <x:sz val="9"/>
      <x:color rgb="FF0B1F26"/>
      <x:name val="Carlito"/>
    </x:font>
    <x:font>
      <x:b/>
      <x:sz val="9"/>
      <x:color rgb="FF0B1F26"/>
      <x:name val="Carlito"/>
    </x:font>
    <x:font>
      <x:b/>
      <x:sz val="15"/>
      <x:color rgb="FF006C70"/>
      <x:name val="Carlito"/>
    </x:font>
    <x:font>
      <x:b/>
      <x:sz val="12"/>
      <x:color rgb="FFFFFFFF"/>
      <x:name val="Carlito"/>
    </x:font>
    <x:font>
      <x:b/>
      <x:sz val="10"/>
      <x:color rgb="FFFFFFFF"/>
      <x:name val="Carlito"/>
    </x:font>
    <x:font>
      <x:sz val="10"/>
      <x:color rgb="FF0B1F26"/>
      <x:name val="Carlito"/>
    </x:font>
    <x:font>
      <x:b/>
      <x:sz val="10"/>
      <x:color rgb="FF006C70"/>
      <x:name val="Carlito"/>
    </x:font>
    <x:font>
      <x:b/>
      <x:sz val="10"/>
      <x:color rgb="FF1F7A4D"/>
      <x:name val="Carlito"/>
    </x:font>
    <x:font>
      <x:b/>
      <x:sz val="10"/>
      <x:color rgb="FFC88A2D"/>
      <x:name val="Carlito"/>
    </x:font>
    <x:font>
      <x:b/>
      <x:sz val="10"/>
      <x:color rgb="FF0B1F26"/>
      <x:name val="Carlito"/>
    </x:font>
    <x:font>
      <x:b/>
      <x:sz val="16"/>
      <x:color rgb="FFFFFFFF"/>
      <x:name val="Carlito"/>
    </x:font>
    <x:font>
      <x:i/>
      <x:sz val="11"/>
      <x:color rgb="FF0B1F26"/>
      <x:name val="Carlito"/>
    </x:font>
    <x:font>
      <x:b/>
      <x:sz val="9"/>
      <x:color rgb="FF52656B"/>
      <x:name val="Carlito"/>
    </x:font>
    <x:font>
      <x:b/>
      <x:sz val="15"/>
      <x:color rgb="FF0B1F26"/>
      <x:name val="Carlito"/>
    </x:font>
    <x:font>
      <x:sz val="8"/>
      <x:color rgb="FF006C70"/>
      <x:name val="Carlito"/>
    </x:font>
    <x:font>
      <x:b/>
      <x:sz val="10"/>
      <x:color rgb="FFB94F5C"/>
      <x:name val="Carlito"/>
    </x:font>
  </x:fonts>
  <x:fills count="36">
    <x:fill>
      <x:patternFill patternType="none"/>
    </x:fill>
    <x:fill>
      <x:patternFill patternType="gray125"/>
    </x:fill>
    <x:fill>
      <x:patternFill patternType="solid">
        <x:fgColor rgb="FF006C70"/>
      </x:patternFill>
    </x:fill>
    <x:fill>
      <x:patternFill patternType="solid">
        <x:fgColor rgb="FFDCEEEE"/>
      </x:patternFill>
    </x:fill>
    <x:fill>
      <x:patternFill patternType="solid">
        <x:fgColor rgb="FF0B1F26"/>
      </x:patternFill>
    </x:fill>
    <x:fill>
      <x:patternFill patternType="solid">
        <x:fgColor rgb="FFFFFCF7"/>
      </x:patternFill>
    </x:fill>
    <x:fill>
      <x:patternFill patternType="solid">
        <x:fgColor rgb="FF006C70"/>
      </x:patternFill>
    </x:fill>
    <x:fill>
      <x:patternFill patternType="solid">
        <x:fgColor rgb="FFDCEEEE"/>
      </x:patternFill>
    </x:fill>
    <x:fill>
      <x:patternFill patternType="solid">
        <x:fgColor rgb="FF0B1F26"/>
      </x:patternFill>
    </x:fill>
    <x:fill>
      <x:patternFill patternType="solid">
        <x:fgColor rgb="FFFFFCF7"/>
      </x:patternFill>
    </x:fill>
    <x:fill>
      <x:patternFill patternType="solid">
        <x:fgColor rgb="FF006C70"/>
      </x:patternFill>
    </x:fill>
    <x:fill>
      <x:patternFill patternType="solid">
        <x:fgColor rgb="FFDCEEEE"/>
      </x:patternFill>
    </x:fill>
    <x:fill>
      <x:patternFill patternType="solid">
        <x:fgColor rgb="FF0B1F26"/>
      </x:patternFill>
    </x:fill>
    <x:fill>
      <x:patternFill patternType="solid">
        <x:fgColor rgb="FFFFFCF7"/>
      </x:patternFill>
    </x:fill>
    <x:fill>
      <x:patternFill patternType="solid">
        <x:fgColor rgb="FF006C70"/>
      </x:patternFill>
    </x:fill>
    <x:fill>
      <x:patternFill patternType="solid">
        <x:fgColor rgb="FFDCEEEE"/>
      </x:patternFill>
    </x:fill>
    <x:fill>
      <x:patternFill patternType="solid">
        <x:fgColor rgb="FF0B1F26"/>
      </x:patternFill>
    </x:fill>
    <x:fill>
      <x:patternFill patternType="solid">
        <x:fgColor rgb="FFFFFCF7"/>
      </x:patternFill>
    </x:fill>
    <x:fill>
      <x:patternFill patternType="solid">
        <x:fgColor rgb="FF006C70"/>
      </x:patternFill>
    </x:fill>
    <x:fill>
      <x:patternFill patternType="solid">
        <x:fgColor rgb="FFDCEEEE"/>
      </x:patternFill>
    </x:fill>
    <x:fill>
      <x:patternFill patternType="solid">
        <x:fgColor rgb="FFFFFCF7"/>
      </x:patternFill>
    </x:fill>
    <x:fill>
      <x:patternFill patternType="solid">
        <x:fgColor rgb="FF0B1F26"/>
      </x:patternFill>
    </x:fill>
    <x:fill>
      <x:patternFill patternType="solid">
        <x:fgColor rgb="FFE4F1E9"/>
      </x:patternFill>
    </x:fill>
    <x:fill>
      <x:patternFill patternType="solid">
        <x:fgColor rgb="FFFAEFD9"/>
      </x:patternFill>
    </x:fill>
    <x:fill>
      <x:patternFill patternType="solid">
        <x:fgColor rgb="FFC9E7E7"/>
      </x:patternFill>
    </x:fill>
    <x:fill>
      <x:patternFill patternType="solid">
        <x:fgColor rgb="FFF7E4E7"/>
      </x:patternFill>
    </x:fill>
    <x:fill>
      <x:patternFill patternType="solid">
        <x:fgColor rgb="FFF6F0E6"/>
      </x:patternFill>
    </x:fill>
    <x:fill>
      <x:patternFill patternType="solid">
        <x:fgColor rgb="FF006C70"/>
      </x:patternFill>
    </x:fill>
    <x:fill>
      <x:patternFill patternType="solid">
        <x:fgColor rgb="FFDCEEEE"/>
      </x:patternFill>
    </x:fill>
    <x:fill>
      <x:patternFill patternType="solid">
        <x:fgColor rgb="FFFFFCF7"/>
      </x:patternFill>
    </x:fill>
    <x:fill>
      <x:patternFill patternType="solid">
        <x:fgColor rgb="FF0B1F26"/>
      </x:patternFill>
    </x:fill>
    <x:fill>
      <x:patternFill patternType="solid">
        <x:fgColor rgb="FFE4F1E9"/>
      </x:patternFill>
    </x:fill>
    <x:fill>
      <x:patternFill patternType="solid">
        <x:fgColor rgb="FFFAEFD9"/>
      </x:patternFill>
    </x:fill>
    <x:fill>
      <x:patternFill patternType="solid">
        <x:fgColor rgb="FFC9E7E7"/>
      </x:patternFill>
    </x:fill>
    <x:fill>
      <x:patternFill patternType="solid">
        <x:fgColor rgb="FFF7E4E7"/>
      </x:patternFill>
    </x:fill>
    <x:fill>
      <x:patternFill patternType="solid">
        <x:fgColor rgb="FFF6F0E6"/>
      </x:patternFill>
    </x:fill>
  </x:fills>
  <x:borders count="1">
    <x:border/>
  </x:borders>
  <x:cellStyleXfs count="1">
    <x:xf numFmtId="0" fontId="0" fillId="0" borderId="0"/>
  </x:cellStyleXfs>
  <x:cellXfs count="3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0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/>
    <x:xf numFmtId="200" fontId="7" fillId="5" borderId="0" xfId="0" applyNumberFormat="1" applyFont="1" applyFill="1" applyBorder="1"/>
    <x:xf numFmtId="0" fontId="5" fillId="5" borderId="0" xfId="0" applyNumberFormat="1" applyFont="1" applyFill="1" applyBorder="1"/>
    <x:xf numFmtId="0" fontId="3" fillId="2" borderId="0" xfId="0" applyNumberFormat="1" applyFont="1" applyFill="1" applyBorder="1"/>
    <x:xf numFmtId="0" fontId="4" fillId="3" borderId="0" xfId="0" applyNumberFormat="1" applyFont="1" applyFill="1" applyBorder="1"/>
    <x:xf numFmtId="200" fontId="0" fillId="0" borderId="0" xfId="0" applyNumberFormat="1" applyFont="1" applyFill="1" applyBorder="1"/>
    <x:xf numFmtId="200" fontId="5" fillId="5" borderId="0" xfId="0" applyNumberFormat="1" applyFont="1" applyFill="1" applyBorder="1"/>
    <x:xf numFmtId="200" fontId="5" fillId="3" borderId="0" xfId="0" applyNumberFormat="1" applyFont="1" applyFill="1" applyBorder="1"/>
    <x:xf numFmtId="200" fontId="3" fillId="2" borderId="0" xfId="0" applyNumberFormat="1" applyFont="1" applyFill="1" applyBorder="1"/>
    <x:xf numFmtId="200" fontId="4" fillId="3" borderId="0" xfId="0" applyNumberFormat="1" applyFont="1" applyFill="1" applyBorder="1"/>
    <x:xf numFmtId="201" fontId="0" fillId="0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0" fontId="8" fillId="5" borderId="0" xfId="0" applyNumberFormat="1" applyFont="1" applyFill="1" applyBorder="1"/>
    <x:xf numFmtId="200" fontId="8" fillId="5" borderId="0" xfId="0" applyNumberFormat="1" applyFont="1" applyFill="1" applyBorder="1"/>
    <x:xf numFmtId="201" fontId="7" fillId="0" borderId="0" xfId="0" applyNumberFormat="1" applyFont="1" applyFill="1" applyBorder="1"/>
    <x:xf numFmtId="200" fontId="8" fillId="3" borderId="0" xfId="0" applyNumberFormat="1" applyFont="1" applyFill="1" applyBorder="1"/>
    <x:xf numFmtId="0" fontId="8" fillId="2" borderId="0" xfId="0" applyNumberFormat="1" applyFont="1" applyFill="1" applyBorder="1"/>
    <x:xf numFmtId="200" fontId="8" fillId="2" borderId="0" xfId="0" applyNumberFormat="1" applyFont="1" applyFill="1" applyBorder="1"/>
    <x:xf numFmtId="200" fontId="0" fillId="5" borderId="0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203" fontId="0" fillId="5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5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0" fillId="9" xfId="0" applyNumberFormat="1" applyFont="1" applyFill="1" applyBorder="0"/>
    <x:xf numFmtId="0" fontId="0" fillId="9" xfId="0" applyNumberFormat="1" applyFont="1" applyFill="1" applyBorder="0" applyAlignment="1">
      <x:alignment wrapText="1"/>
    </x:xf>
    <x:xf numFmtId="0" fontId="4" fillId="9" xfId="0" applyNumberFormat="1" applyFont="1" applyFill="1" applyBorder="0" applyAlignment="1">
      <x:alignment wrapText="1"/>
    </x:xf>
    <x:xf numFmtId="200" fontId="0" fillId="9" xfId="0" applyNumberFormat="1" applyFont="1" applyFill="1" applyBorder="0" applyAlignment="1">
      <x:alignment wrapText="1"/>
    </x:xf>
    <x:xf numFmtId="201" fontId="0" fillId="9" xfId="0" applyNumberFormat="1" applyFont="1" applyFill="1" applyBorder="0" applyAlignment="1">
      <x:alignment wrapText="1"/>
    </x:xf>
    <x:xf numFmtId="203" fontId="0" fillId="9" xfId="0" applyNumberFormat="1" applyFont="1" applyFill="1" applyBorder="0" applyAlignment="1">
      <x:alignment wrapText="1"/>
    </x:xf>
    <x:xf numFmtId="202" fontId="0" fillId="9" xfId="0" applyNumberFormat="1" applyFont="1" applyFill="1" applyBorder="0" applyAlignment="1">
      <x:alignment wrapText="1"/>
    </x:xf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vertical="center"/>
    </x:xf>
    <x:xf numFmtId="0" fontId="3" fillId="8" xfId="0" applyNumberFormat="1" applyFont="1" applyFill="1" applyBorder="0" applyAlignment="1">
      <x:alignment vertical="center" wrapText="1"/>
    </x:xf>
    <x:xf numFmtId="0" fontId="0" fillId="0" xfId="0" applyNumberFormat="1" applyFont="1" applyFill="1" applyBorder="0"/>
    <x:xf numFmtId="200" fontId="0" fillId="0" xfId="0" applyNumberFormat="1" applyFont="1" applyFill="1" applyBorder="0"/>
    <x:xf numFmtId="204" fontId="0" fillId="0" xfId="0" applyNumberFormat="1" applyFont="1" applyFill="1" applyBorder="0"/>
    <x:xf numFmtId="0" fontId="6" fillId="9" borderId="0" xfId="0" applyNumberFormat="1" applyFont="1" applyFill="1" applyBorder="1"/>
    <x:xf numFmtId="0" fontId="6" fillId="9" xfId="0" applyNumberFormat="1" applyFont="1" applyFill="1" applyBorder="0"/>
    <x:xf numFmtId="0" fontId="6" fillId="9" xfId="0" applyNumberFormat="1" applyFont="1" applyFill="1" applyBorder="0" applyAlignment="1">
      <x:alignment wrapText="1"/>
    </x:xf>
    <x:xf numFmtId="0" fontId="6" fillId="9" xfId="0" applyNumberFormat="1" applyFont="1" applyFill="1" applyBorder="0" applyAlignment="1">
      <x:alignment vertical="center" wrapText="1"/>
    </x:xf>
    <x:xf numFmtId="0" fontId="0" fillId="9" xfId="0" applyNumberFormat="1" applyFont="1" applyFill="1" applyBorder="0" applyAlignment="1">
      <x:alignment vertical="top" wrapText="1"/>
    </x:xf>
    <x:xf numFmtId="0" fontId="0" fillId="7" xfId="0" applyNumberFormat="1" applyFont="1" applyFill="1" applyBorder="0" applyAlignment="1">
      <x:alignment vertical="top" wrapText="1"/>
    </x:xf>
    <x:xf numFmtId="0" fontId="9" fillId="7" xfId="0" applyNumberFormat="1" applyFont="1" applyFill="1" applyBorder="0" applyAlignment="1">
      <x:alignment vertical="top" wrapText="1"/>
    </x:xf>
    <x:xf numFmtId="0" fontId="9" fillId="7" xfId="0" applyNumberFormat="1" applyFont="1" applyFill="1" applyBorder="0" applyAlignment="1">
      <x:alignment horizontal="center" vertical="top" wrapText="1"/>
    </x:xf>
    <x:xf numFmtId="0" fontId="9" fillId="7" xfId="0" applyNumberFormat="1" applyFont="1" applyFill="1" applyBorder="0" applyAlignment="1">
      <x:alignment horizontal="center" vertical="center" wrapText="1"/>
    </x:xf>
    <x:xf numFmtId="0" fontId="4" fillId="9" xfId="0" applyNumberFormat="1" applyFont="1" applyFill="1" applyBorder="0" applyAlignment="1">
      <x:alignment vertical="top" wrapText="1"/>
    </x:xf>
    <x:xf numFmtId="0" fontId="4" fillId="9" borderId="0" xfId="0" applyNumberFormat="1" applyFont="1" applyFill="1" applyBorder="1"/>
    <x:xf numFmtId="0" fontId="4" fillId="9" xfId="0" applyNumberFormat="1" applyFont="1" applyFill="1" applyBorder="0"/>
    <x:xf numFmtId="0" fontId="10" fillId="6" borderId="0" xfId="0" applyNumberFormat="1" applyFont="1" applyFill="1" applyBorder="1"/>
    <x:xf numFmtId="0" fontId="10" fillId="6" xfId="0" applyNumberFormat="1" applyFont="1" applyFill="1" applyBorder="0"/>
    <x:xf numFmtId="0" fontId="10" fillId="6" xfId="0" applyNumberFormat="1" applyFont="1" applyFill="1" applyBorder="0" applyAlignment="1">
      <x:alignment wrapText="1"/>
    </x:xf>
    <x:xf numFmtId="0" fontId="10" fillId="6" xfId="0" applyNumberFormat="1" applyFont="1" applyFill="1" applyBorder="0" applyAlignment="1">
      <x:alignment vertical="center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wrapText="1"/>
    </x:xf>
    <x:xf numFmtId="0" fontId="3" fillId="12" borderId="0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0" fillId="13" xfId="0" applyNumberFormat="1" applyFont="1" applyFill="1" applyBorder="0"/>
    <x:xf numFmtId="0" fontId="0" fillId="13" xfId="0" applyNumberFormat="1" applyFont="1" applyFill="1" applyBorder="0" applyAlignment="1">
      <x:alignment wrapText="1"/>
    </x:xf>
    <x:xf numFmtId="0" fontId="4" fillId="13" xfId="0" applyNumberFormat="1" applyFont="1" applyFill="1" applyBorder="0" applyAlignment="1">
      <x:alignment wrapText="1"/>
    </x:xf>
    <x:xf numFmtId="200" fontId="0" fillId="13" xfId="0" applyNumberFormat="1" applyFont="1" applyFill="1" applyBorder="0" applyAlignment="1">
      <x:alignment wrapText="1"/>
    </x:xf>
    <x:xf numFmtId="201" fontId="0" fillId="13" xfId="0" applyNumberFormat="1" applyFont="1" applyFill="1" applyBorder="0" applyAlignment="1">
      <x:alignment wrapText="1"/>
    </x:xf>
    <x:xf numFmtId="203" fontId="0" fillId="13" xfId="0" applyNumberFormat="1" applyFont="1" applyFill="1" applyBorder="0" applyAlignment="1">
      <x:alignment wrapText="1"/>
    </x:xf>
    <x:xf numFmtId="202" fontId="0" fillId="13" xfId="0" applyNumberFormat="1" applyFont="1" applyFill="1" applyBorder="0" applyAlignment="1">
      <x:alignment wrapText="1"/>
    </x:xf>
    <x:xf numFmtId="0" fontId="5" fillId="11" borderId="0" xfId="0" applyNumberFormat="1" applyFont="1" applyFill="1" applyBorder="1"/>
    <x:xf numFmtId="0" fontId="5" fillId="11" borderId="0" xfId="0" applyNumberFormat="1" applyFont="1" applyFill="1" applyBorder="1" applyAlignment="1">
      <x:alignment vertical="center"/>
    </x:xf>
    <x:xf numFmtId="0" fontId="3" fillId="12" xfId="0" applyNumberFormat="1" applyFont="1" applyFill="1" applyBorder="0" applyAlignment="1">
      <x:alignment vertical="center" wrapText="1"/>
    </x:xf>
    <x:xf numFmtId="0" fontId="6" fillId="13" borderId="0" xfId="0" applyNumberFormat="1" applyFont="1" applyFill="1" applyBorder="1"/>
    <x:xf numFmtId="0" fontId="6" fillId="13" xfId="0" applyNumberFormat="1" applyFont="1" applyFill="1" applyBorder="0"/>
    <x:xf numFmtId="0" fontId="6" fillId="13" xfId="0" applyNumberFormat="1" applyFont="1" applyFill="1" applyBorder="0" applyAlignment="1">
      <x:alignment wrapText="1"/>
    </x:xf>
    <x:xf numFmtId="0" fontId="6" fillId="13" xfId="0" applyNumberFormat="1" applyFont="1" applyFill="1" applyBorder="0" applyAlignment="1">
      <x:alignment vertical="center" wrapText="1"/>
    </x:xf>
    <x:xf numFmtId="0" fontId="0" fillId="13" xfId="0" applyNumberFormat="1" applyFont="1" applyFill="1" applyBorder="0" applyAlignment="1">
      <x:alignment vertical="top" wrapText="1"/>
    </x:xf>
    <x:xf numFmtId="0" fontId="0" fillId="11" xfId="0" applyNumberFormat="1" applyFont="1" applyFill="1" applyBorder="0" applyAlignment="1">
      <x:alignment vertical="top" wrapText="1"/>
    </x:xf>
    <x:xf numFmtId="0" fontId="9" fillId="11" xfId="0" applyNumberFormat="1" applyFont="1" applyFill="1" applyBorder="0" applyAlignment="1">
      <x:alignment vertical="top" wrapText="1"/>
    </x:xf>
    <x:xf numFmtId="0" fontId="9" fillId="11" xfId="0" applyNumberFormat="1" applyFont="1" applyFill="1" applyBorder="0" applyAlignment="1">
      <x:alignment horizontal="center" vertical="top" wrapText="1"/>
    </x:xf>
    <x:xf numFmtId="0" fontId="9" fillId="11" xfId="0" applyNumberFormat="1" applyFont="1" applyFill="1" applyBorder="0" applyAlignment="1">
      <x:alignment horizontal="center" vertical="center" wrapText="1"/>
    </x:xf>
    <x:xf numFmtId="0" fontId="4" fillId="13" xfId="0" applyNumberFormat="1" applyFont="1" applyFill="1" applyBorder="0" applyAlignment="1">
      <x:alignment vertical="top" wrapText="1"/>
    </x:xf>
    <x:xf numFmtId="0" fontId="4" fillId="13" borderId="0" xfId="0" applyNumberFormat="1" applyFont="1" applyFill="1" applyBorder="1"/>
    <x:xf numFmtId="0" fontId="4" fillId="13" xfId="0" applyNumberFormat="1" applyFont="1" applyFill="1" applyBorder="0"/>
    <x:xf numFmtId="0" fontId="0" fillId="13" xfId="0" applyNumberFormat="1" applyFont="1" applyFill="1" applyBorder="0" applyAlignment="1">
      <x:alignment vertical="center" wrapText="1"/>
    </x:xf>
    <x:xf numFmtId="0" fontId="10" fillId="10" borderId="0" xfId="0" applyNumberFormat="1" applyFont="1" applyFill="1" applyBorder="1"/>
    <x:xf numFmtId="0" fontId="10" fillId="10" xfId="0" applyNumberFormat="1" applyFont="1" applyFill="1" applyBorder="0"/>
    <x:xf numFmtId="0" fontId="10" fillId="10" xfId="0" applyNumberFormat="1" applyFont="1" applyFill="1" applyBorder="0" applyAlignment="1">
      <x:alignment wrapText="1"/>
    </x:xf>
    <x:xf numFmtId="0" fontId="10" fillId="10" xfId="0" applyNumberFormat="1" applyFont="1" applyFill="1" applyBorder="0" applyAlignment="1">
      <x:alignment vertical="center" wrapText="1"/>
    </x:xf>
    <x:xf numFmtId="0" fontId="0" fillId="14" borderId="0" xfId="0" applyNumberFormat="1" applyFont="1" applyFill="1" applyBorder="1"/>
    <x:xf numFmtId="0" fontId="1" fillId="14" borderId="0" xfId="0" applyNumberFormat="1" applyFont="1" applyFill="1" applyBorder="1"/>
    <x:xf numFmtId="0" fontId="1" fillId="14" borderId="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2" fillId="15" borderId="0" xfId="0" applyNumberFormat="1" applyFont="1" applyFill="1" applyBorder="1"/>
    <x:xf numFmtId="0" fontId="2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0" xfId="0" applyNumberFormat="1" applyFont="1" applyFill="1" applyBorder="1" applyAlignment="1">
      <x:alignment wrapText="1"/>
    </x:xf>
    <x:xf numFmtId="0" fontId="3" fillId="16" borderId="0" xfId="0" applyNumberFormat="1" applyFont="1" applyFill="1" applyBorder="1" applyAlignment="1">
      <x:alignment vertical="center" wrapText="1"/>
    </x:xf>
    <x:xf numFmtId="0" fontId="0" fillId="17" borderId="0" xfId="0" applyNumberFormat="1" applyFont="1" applyFill="1" applyBorder="1"/>
    <x:xf numFmtId="0" fontId="0" fillId="17" xfId="0" applyNumberFormat="1" applyFont="1" applyFill="1" applyBorder="0"/>
    <x:xf numFmtId="0" fontId="0" fillId="17" xfId="0" applyNumberFormat="1" applyFont="1" applyFill="1" applyBorder="0" applyAlignment="1">
      <x:alignment wrapText="1"/>
    </x:xf>
    <x:xf numFmtId="0" fontId="4" fillId="17" xfId="0" applyNumberFormat="1" applyFont="1" applyFill="1" applyBorder="0" applyAlignment="1">
      <x:alignment wrapText="1"/>
    </x:xf>
    <x:xf numFmtId="200" fontId="0" fillId="17" xfId="0" applyNumberFormat="1" applyFont="1" applyFill="1" applyBorder="0" applyAlignment="1">
      <x:alignment wrapText="1"/>
    </x:xf>
    <x:xf numFmtId="201" fontId="0" fillId="17" xfId="0" applyNumberFormat="1" applyFont="1" applyFill="1" applyBorder="0" applyAlignment="1">
      <x:alignment wrapText="1"/>
    </x:xf>
    <x:xf numFmtId="203" fontId="0" fillId="17" xfId="0" applyNumberFormat="1" applyFont="1" applyFill="1" applyBorder="0" applyAlignment="1">
      <x:alignment wrapText="1"/>
    </x:xf>
    <x:xf numFmtId="202" fontId="0" fillId="17" xfId="0" applyNumberFormat="1" applyFont="1" applyFill="1" applyBorder="0" applyAlignment="1">
      <x:alignment wrapText="1"/>
    </x:xf>
    <x:xf numFmtId="0" fontId="5" fillId="15" borderId="0" xfId="0" applyNumberFormat="1" applyFont="1" applyFill="1" applyBorder="1"/>
    <x:xf numFmtId="0" fontId="5" fillId="15" borderId="0" xfId="0" applyNumberFormat="1" applyFont="1" applyFill="1" applyBorder="1" applyAlignment="1">
      <x:alignment vertical="center"/>
    </x:xf>
    <x:xf numFmtId="0" fontId="3" fillId="16" xfId="0" applyNumberFormat="1" applyFont="1" applyFill="1" applyBorder="0" applyAlignment="1">
      <x:alignment vertical="center" wrapText="1"/>
    </x:xf>
    <x:xf numFmtId="0" fontId="6" fillId="17" borderId="0" xfId="0" applyNumberFormat="1" applyFont="1" applyFill="1" applyBorder="1"/>
    <x:xf numFmtId="0" fontId="6" fillId="17" xfId="0" applyNumberFormat="1" applyFont="1" applyFill="1" applyBorder="0"/>
    <x:xf numFmtId="0" fontId="6" fillId="17" xfId="0" applyNumberFormat="1" applyFont="1" applyFill="1" applyBorder="0" applyAlignment="1">
      <x:alignment wrapText="1"/>
    </x:xf>
    <x:xf numFmtId="0" fontId="6" fillId="17" xfId="0" applyNumberFormat="1" applyFont="1" applyFill="1" applyBorder="0" applyAlignment="1">
      <x:alignment vertical="center" wrapText="1"/>
    </x:xf>
    <x:xf numFmtId="0" fontId="0" fillId="17" xfId="0" applyNumberFormat="1" applyFont="1" applyFill="1" applyBorder="0" applyAlignment="1">
      <x:alignment vertical="top" wrapText="1"/>
    </x:xf>
    <x:xf numFmtId="0" fontId="0" fillId="15" xfId="0" applyNumberFormat="1" applyFont="1" applyFill="1" applyBorder="0" applyAlignment="1">
      <x:alignment vertical="top" wrapText="1"/>
    </x:xf>
    <x:xf numFmtId="0" fontId="9" fillId="15" xfId="0" applyNumberFormat="1" applyFont="1" applyFill="1" applyBorder="0" applyAlignment="1">
      <x:alignment vertical="top" wrapText="1"/>
    </x:xf>
    <x:xf numFmtId="0" fontId="9" fillId="15" xfId="0" applyNumberFormat="1" applyFont="1" applyFill="1" applyBorder="0" applyAlignment="1">
      <x:alignment horizontal="center" vertical="top" wrapText="1"/>
    </x:xf>
    <x:xf numFmtId="0" fontId="9" fillId="15" xfId="0" applyNumberFormat="1" applyFont="1" applyFill="1" applyBorder="0" applyAlignment="1">
      <x:alignment horizontal="center" vertical="center" wrapText="1"/>
    </x:xf>
    <x:xf numFmtId="0" fontId="4" fillId="17" xfId="0" applyNumberFormat="1" applyFont="1" applyFill="1" applyBorder="0" applyAlignment="1">
      <x:alignment vertical="top" wrapText="1"/>
    </x:xf>
    <x:xf numFmtId="0" fontId="4" fillId="17" borderId="0" xfId="0" applyNumberFormat="1" applyFont="1" applyFill="1" applyBorder="1"/>
    <x:xf numFmtId="0" fontId="4" fillId="17" xfId="0" applyNumberFormat="1" applyFont="1" applyFill="1" applyBorder="0"/>
    <x:xf numFmtId="0" fontId="0" fillId="17" xfId="0" applyNumberFormat="1" applyFont="1" applyFill="1" applyBorder="0" applyAlignment="1">
      <x:alignment vertical="center" wrapText="1"/>
    </x:xf>
    <x:xf numFmtId="0" fontId="10" fillId="14" borderId="0" xfId="0" applyNumberFormat="1" applyFont="1" applyFill="1" applyBorder="1"/>
    <x:xf numFmtId="0" fontId="10" fillId="14" xfId="0" applyNumberFormat="1" applyFont="1" applyFill="1" applyBorder="0"/>
    <x:xf numFmtId="0" fontId="10" fillId="14" xfId="0" applyNumberFormat="1" applyFont="1" applyFill="1" applyBorder="0" applyAlignment="1">
      <x:alignment wrapText="1"/>
    </x:xf>
    <x:xf numFmtId="0" fontId="10" fillId="14" xfId="0" applyNumberFormat="1" applyFont="1" applyFill="1" applyBorder="0" applyAlignment="1">
      <x:alignment vertical="center" wrapText="1"/>
    </x:xf>
    <x:xf numFmtId="0" fontId="0" fillId="18" borderId="0" xfId="0" applyNumberFormat="1" applyFont="1" applyFill="1" applyBorder="1"/>
    <x:xf numFmtId="0" fontId="1" fillId="18" borderId="0" xfId="0" applyNumberFormat="1" applyFont="1" applyFill="1" applyBorder="1"/>
    <x:xf numFmtId="0" fontId="1" fillId="18" borderId="0" xfId="0" applyNumberFormat="1" applyFont="1" applyFill="1" applyBorder="1" applyAlignment="1">
      <x:alignment vertical="center"/>
    </x:xf>
    <x:xf numFmtId="0" fontId="0" fillId="19" borderId="0" xfId="0" applyNumberFormat="1" applyFont="1" applyFill="1" applyBorder="1"/>
    <x:xf numFmtId="0" fontId="2" fillId="19" borderId="0" xfId="0" applyNumberFormat="1" applyFont="1" applyFill="1" applyBorder="1"/>
    <x:xf numFmtId="0" fontId="2" fillId="19" borderId="0" xfId="0" applyNumberFormat="1" applyFont="1" applyFill="1" applyBorder="1" applyAlignment="1">
      <x:alignment wrapText="1"/>
    </x:xf>
    <x:xf numFmtId="0" fontId="2" fillId="19" borderId="0" xfId="0" applyNumberFormat="1" applyFont="1" applyFill="1" applyBorder="1" applyAlignment="1">
      <x:alignment vertical="center" wrapText="1"/>
    </x:xf>
    <x:xf numFmtId="0" fontId="5" fillId="19" borderId="0" xfId="0" applyNumberFormat="1" applyFont="1" applyFill="1" applyBorder="1"/>
    <x:xf numFmtId="0" fontId="5" fillId="19" borderId="0" xfId="0" applyNumberFormat="1" applyFont="1" applyFill="1" applyBorder="1" applyAlignment="1">
      <x:alignment vertical="center"/>
    </x:xf>
    <x:xf numFmtId="0" fontId="0" fillId="20" borderId="0" xfId="0" applyNumberFormat="1" applyFont="1" applyFill="1" applyBorder="1"/>
    <x:xf numFmtId="0" fontId="4" fillId="20" borderId="0" xfId="0" applyNumberFormat="1" applyFont="1" applyFill="1" applyBorder="1"/>
    <x:xf numFmtId="0" fontId="4" fillId="20" xfId="0" applyNumberFormat="1" applyFont="1" applyFill="1" applyBorder="0"/>
    <x:xf numFmtId="0" fontId="4" fillId="20" xfId="0" applyNumberFormat="1" applyFont="1" applyFill="1" applyBorder="0" applyAlignment="1">
      <x:alignment wrapText="1"/>
    </x:xf>
    <x:xf numFmtId="0" fontId="4" fillId="20" xfId="0" applyNumberFormat="1" applyFont="1" applyFill="1" applyBorder="0" applyAlignment="1">
      <x:alignment vertical="center" wrapText="1"/>
    </x:xf>
    <x:xf numFmtId="0" fontId="0" fillId="20" xfId="0" applyNumberFormat="1" applyFont="1" applyFill="1" applyBorder="0"/>
    <x:xf numFmtId="0" fontId="0" fillId="20" xfId="0" applyNumberFormat="1" applyFont="1" applyFill="1" applyBorder="0" applyAlignment="1">
      <x:alignment wrapText="1"/>
    </x:xf>
    <x:xf numFmtId="0" fontId="0" fillId="20" xfId="0" applyNumberFormat="1" applyFont="1" applyFill="1" applyBorder="0" applyAlignment="1">
      <x:alignment vertical="center" wrapText="1"/>
    </x:xf>
    <x:xf numFmtId="0" fontId="0" fillId="21" borderId="0" xfId="0" applyNumberFormat="1" applyFont="1" applyFill="1" applyBorder="1"/>
    <x:xf numFmtId="0" fontId="11" fillId="21" borderId="0" xfId="0" applyNumberFormat="1" applyFont="1" applyFill="1" applyBorder="1"/>
    <x:xf numFmtId="0" fontId="11" fillId="21" borderId="0" xfId="0" applyNumberFormat="1" applyFont="1" applyFill="1" applyBorder="1" applyAlignment="1">
      <x:alignment wrapText="1"/>
    </x:xf>
    <x:xf numFmtId="0" fontId="11" fillId="21" borderId="0" xfId="0" applyNumberFormat="1" applyFont="1" applyFill="1" applyBorder="1" applyAlignment="1">
      <x:alignment vertical="center" wrapText="1"/>
    </x:xf>
    <x:xf numFmtId="0" fontId="12" fillId="20" borderId="0" xfId="0" applyNumberFormat="1" applyFont="1" applyFill="1" applyBorder="1"/>
    <x:xf numFmtId="0" fontId="12" fillId="20" xfId="0" applyNumberFormat="1" applyFont="1" applyFill="1" applyBorder="0"/>
    <x:xf numFmtId="0" fontId="12" fillId="20" xfId="0" applyNumberFormat="1" applyFont="1" applyFill="1" applyBorder="0" applyAlignment="1">
      <x:alignment wrapText="1"/>
    </x:xf>
    <x:xf numFmtId="0" fontId="12" fillId="20" xfId="0" applyNumberFormat="1" applyFont="1" applyFill="1" applyBorder="0" applyAlignment="1">
      <x:alignment vertical="top" wrapText="1"/>
    </x:xf>
    <x:xf numFmtId="0" fontId="12" fillId="19" xfId="0" applyNumberFormat="1" applyFont="1" applyFill="1" applyBorder="0" applyAlignment="1">
      <x:alignment vertical="top" wrapText="1"/>
    </x:xf>
    <x:xf numFmtId="0" fontId="9" fillId="19" xfId="0" applyNumberFormat="1" applyFont="1" applyFill="1" applyBorder="0" applyAlignment="1">
      <x:alignment vertical="top" wrapText="1"/>
    </x:xf>
    <x:xf numFmtId="0" fontId="9" fillId="19" xfId="0" applyNumberFormat="1" applyFont="1" applyFill="1" applyBorder="0" applyAlignment="1">
      <x:alignment horizontal="center" vertical="top" wrapText="1"/>
    </x:xf>
    <x:xf numFmtId="0" fontId="9" fillId="19" xfId="0" applyNumberFormat="1" applyFont="1" applyFill="1" applyBorder="0" applyAlignment="1">
      <x:alignment horizontal="center" vertical="center" wrapText="1"/>
    </x:xf>
    <x:xf numFmtId="0" fontId="13" fillId="20" xfId="0" applyNumberFormat="1" applyFont="1" applyFill="1" applyBorder="0" applyAlignment="1">
      <x:alignment vertical="top" wrapText="1"/>
    </x:xf>
    <x:xf numFmtId="0" fontId="12" fillId="22" xfId="0" applyNumberFormat="1" applyFont="1" applyFill="1" applyBorder="0" applyAlignment="1">
      <x:alignment vertical="top" wrapText="1"/>
    </x:xf>
    <x:xf numFmtId="0" fontId="14" fillId="22" xfId="0" applyNumberFormat="1" applyFont="1" applyFill="1" applyBorder="0" applyAlignment="1">
      <x:alignment vertical="top" wrapText="1"/>
    </x:xf>
    <x:xf numFmtId="0" fontId="14" fillId="22" xfId="0" applyNumberFormat="1" applyFont="1" applyFill="1" applyBorder="0" applyAlignment="1">
      <x:alignment horizontal="center" vertical="top" wrapText="1"/>
    </x:xf>
    <x:xf numFmtId="0" fontId="14" fillId="22" xfId="0" applyNumberFormat="1" applyFont="1" applyFill="1" applyBorder="0" applyAlignment="1">
      <x:alignment horizontal="center" vertical="center" wrapText="1"/>
    </x:xf>
    <x:xf numFmtId="0" fontId="12" fillId="23" xfId="0" applyNumberFormat="1" applyFont="1" applyFill="1" applyBorder="0" applyAlignment="1">
      <x:alignment vertical="top" wrapText="1"/>
    </x:xf>
    <x:xf numFmtId="0" fontId="15" fillId="23" xfId="0" applyNumberFormat="1" applyFont="1" applyFill="1" applyBorder="0" applyAlignment="1">
      <x:alignment vertical="top" wrapText="1"/>
    </x:xf>
    <x:xf numFmtId="0" fontId="15" fillId="23" xfId="0" applyNumberFormat="1" applyFont="1" applyFill="1" applyBorder="0" applyAlignment="1">
      <x:alignment horizontal="center" vertical="top" wrapText="1"/>
    </x:xf>
    <x:xf numFmtId="0" fontId="15" fillId="23" xfId="0" applyNumberFormat="1" applyFont="1" applyFill="1" applyBorder="0" applyAlignment="1">
      <x:alignment horizontal="center" vertical="center" wrapText="1"/>
    </x:xf>
    <x:xf numFmtId="0" fontId="13" fillId="19" xfId="0" applyNumberFormat="1" applyFont="1" applyFill="1" applyBorder="0" applyAlignment="1">
      <x:alignment vertical="top" wrapText="1"/>
    </x:xf>
    <x:xf numFmtId="0" fontId="13" fillId="19" xfId="0" applyNumberFormat="1" applyFont="1" applyFill="1" applyBorder="0" applyAlignment="1">
      <x:alignment horizontal="center" vertical="top" wrapText="1"/>
    </x:xf>
    <x:xf numFmtId="0" fontId="13" fillId="19" xfId="0" applyNumberFormat="1" applyFont="1" applyFill="1" applyBorder="0" applyAlignment="1">
      <x:alignment horizontal="center" vertical="center" wrapText="1"/>
    </x:xf>
    <x:xf numFmtId="203" fontId="12" fillId="20" xfId="0" applyNumberFormat="1" applyFont="1" applyFill="1" applyBorder="0" applyAlignment="1">
      <x:alignment vertical="top" wrapText="1"/>
    </x:xf>
    <x:xf numFmtId="201" fontId="12" fillId="20" xfId="0" applyNumberFormat="1" applyFont="1" applyFill="1" applyBorder="0" applyAlignment="1">
      <x:alignment vertical="top" wrapText="1"/>
    </x:xf>
    <x:xf numFmtId="206" fontId="12" fillId="20" xfId="0" applyNumberFormat="1" applyFont="1" applyFill="1" applyBorder="0" applyAlignment="1">
      <x:alignment vertical="top" wrapText="1"/>
    </x:xf>
    <x:xf numFmtId="202" fontId="12" fillId="20" xfId="0" applyNumberFormat="1" applyFont="1" applyFill="1" applyBorder="0" applyAlignment="1">
      <x:alignment vertical="top" wrapText="1"/>
    </x:xf>
    <x:xf numFmtId="0" fontId="16" fillId="20" xfId="0" applyNumberFormat="1" applyFont="1" applyFill="1" applyBorder="0" applyAlignment="1">
      <x:alignment vertical="top" wrapText="1"/>
    </x:xf>
    <x:xf numFmtId="0" fontId="16" fillId="19" xfId="0" applyNumberFormat="1" applyFont="1" applyFill="1" applyBorder="0" applyAlignment="1">
      <x:alignment vertical="top" wrapText="1"/>
    </x:xf>
    <x:xf numFmtId="0" fontId="16" fillId="24" xfId="0" applyNumberFormat="1" applyFont="1" applyFill="1" applyBorder="0" applyAlignment="1">
      <x:alignment vertical="top" wrapText="1"/>
    </x:xf>
    <x:xf numFmtId="0" fontId="16" fillId="22" xfId="0" applyNumberFormat="1" applyFont="1" applyFill="1" applyBorder="0" applyAlignment="1">
      <x:alignment vertical="top" wrapText="1"/>
    </x:xf>
    <x:xf numFmtId="0" fontId="16" fillId="23" xfId="0" applyNumberFormat="1" applyFont="1" applyFill="1" applyBorder="0" applyAlignment="1">
      <x:alignment vertical="top" wrapText="1"/>
    </x:xf>
    <x:xf numFmtId="0" fontId="16" fillId="25" xfId="0" applyNumberFormat="1" applyFont="1" applyFill="1" applyBorder="0" applyAlignment="1">
      <x:alignment vertical="top" wrapText="1"/>
    </x:xf>
    <x:xf numFmtId="0" fontId="0" fillId="26" borderId="0" xfId="0" applyNumberFormat="1" applyFont="1" applyFill="1" applyBorder="1"/>
    <x:xf numFmtId="0" fontId="17" fillId="18" borderId="0" xfId="0" applyNumberFormat="1" applyFont="1" applyFill="1" applyBorder="1"/>
    <x:xf numFmtId="0" fontId="17" fillId="18" borderId="0" xfId="0" applyNumberFormat="1" applyFont="1" applyFill="1" applyBorder="1" applyAlignment="1">
      <x:alignment vertical="center"/>
    </x:xf>
    <x:xf numFmtId="0" fontId="18" fillId="19" borderId="0" xfId="0" applyNumberFormat="1" applyFont="1" applyFill="1" applyBorder="1"/>
    <x:xf numFmtId="0" fontId="18" fillId="19" borderId="0" xfId="0" applyNumberFormat="1" applyFont="1" applyFill="1" applyBorder="1" applyAlignment="1">
      <x:alignment wrapText="1"/>
    </x:xf>
    <x:xf numFmtId="0" fontId="18" fillId="19" borderId="0" xfId="0" applyNumberFormat="1" applyFont="1" applyFill="1" applyBorder="1" applyAlignment="1">
      <x:alignment vertical="center" wrapText="1"/>
    </x:xf>
    <x:xf numFmtId="0" fontId="4" fillId="20" xfId="0" applyNumberFormat="1" applyFont="1" applyFill="1" applyBorder="0" applyAlignment="1">
      <x:alignment horizontal="center"/>
    </x:xf>
    <x:xf numFmtId="0" fontId="4" fillId="20" xfId="0" applyNumberFormat="1" applyFont="1" applyFill="1" applyBorder="0" applyAlignment="1">
      <x:alignment horizontal="center" vertical="center"/>
    </x:xf>
    <x:xf numFmtId="0" fontId="19" fillId="20" borderId="0" xfId="0" applyNumberFormat="1" applyFont="1" applyFill="1" applyBorder="1"/>
    <x:xf numFmtId="0" fontId="19" fillId="20" xfId="0" applyNumberFormat="1" applyFont="1" applyFill="1" applyBorder="0"/>
    <x:xf numFmtId="0" fontId="19" fillId="20" xfId="0" applyNumberFormat="1" applyFont="1" applyFill="1" applyBorder="0" applyAlignment="1">
      <x:alignment vertical="center"/>
    </x:xf>
    <x:xf numFmtId="0" fontId="20" fillId="20" borderId="0" xfId="0" applyNumberFormat="1" applyFont="1" applyFill="1" applyBorder="1"/>
    <x:xf numFmtId="0" fontId="20" fillId="20" xfId="0" applyNumberFormat="1" applyFont="1" applyFill="1" applyBorder="0"/>
    <x:xf numFmtId="0" fontId="20" fillId="20" xfId="0" applyNumberFormat="1" applyFont="1" applyFill="1" applyBorder="0" applyAlignment="1">
      <x:alignment vertical="center"/>
    </x:xf>
    <x:xf numFmtId="0" fontId="21" fillId="20" borderId="0" xfId="0" applyNumberFormat="1" applyFont="1" applyFill="1" applyBorder="1"/>
    <x:xf numFmtId="0" fontId="21" fillId="20" xfId="0" applyNumberFormat="1" applyFont="1" applyFill="1" applyBorder="0"/>
    <x:xf numFmtId="0" fontId="21" fillId="20" xfId="0" applyNumberFormat="1" applyFont="1" applyFill="1" applyBorder="0" applyAlignment="1">
      <x:alignment wrapText="1"/>
    </x:xf>
    <x:xf numFmtId="0" fontId="21" fillId="20" xfId="0" applyNumberFormat="1" applyFont="1" applyFill="1" applyBorder="0" applyAlignment="1">
      <x:alignment vertical="center" wrapText="1"/>
    </x:xf>
    <x:xf numFmtId="0" fontId="13" fillId="20" borderId="0" xfId="0" applyNumberFormat="1" applyFont="1" applyFill="1" applyBorder="1"/>
    <x:xf numFmtId="0" fontId="13" fillId="20" xfId="0" applyNumberFormat="1" applyFont="1" applyFill="1" applyBorder="0"/>
    <x:xf numFmtId="0" fontId="13" fillId="20" xfId="0" applyNumberFormat="1" applyFont="1" applyFill="1" applyBorder="0" applyAlignment="1">
      <x:alignment wrapText="1"/>
    </x:xf>
    <x:xf numFmtId="0" fontId="13" fillId="20" xfId="0" applyNumberFormat="1" applyFont="1" applyFill="1" applyBorder="0" applyAlignment="1">
      <x:alignment vertical="center" wrapText="1"/>
    </x:xf>
    <x:xf numFmtId="0" fontId="12" fillId="20" xfId="0" applyNumberFormat="1" applyFont="1" applyFill="1" applyBorder="0" applyAlignment="1">
      <x:alignment horizontal="left" wrapText="1"/>
    </x:xf>
    <x:xf numFmtId="0" fontId="12" fillId="20" xfId="0" applyNumberFormat="1" applyFont="1" applyFill="1" applyBorder="0" applyAlignment="1">
      <x:alignment horizontal="left" vertical="center" wrapText="1"/>
    </x:xf>
    <x:xf numFmtId="0" fontId="13" fillId="19" borderId="0" xfId="0" applyNumberFormat="1" applyFont="1" applyFill="1" applyBorder="1"/>
    <x:xf numFmtId="0" fontId="13" fillId="19" xfId="0" applyNumberFormat="1" applyFont="1" applyFill="1" applyBorder="0"/>
    <x:xf numFmtId="0" fontId="13" fillId="19" xfId="0" applyNumberFormat="1" applyFont="1" applyFill="1" applyBorder="0" applyAlignment="1">
      <x:alignment wrapText="1"/>
    </x:xf>
    <x:xf numFmtId="0" fontId="13" fillId="19" xfId="0" applyNumberFormat="1" applyFont="1" applyFill="1" applyBorder="0" applyAlignment="1">
      <x:alignment vertical="center" wrapText="1"/>
    </x:xf>
    <x:xf numFmtId="0" fontId="12" fillId="19" borderId="0" xfId="0" applyNumberFormat="1" applyFont="1" applyFill="1" applyBorder="1"/>
    <x:xf numFmtId="0" fontId="12" fillId="19" xfId="0" applyNumberFormat="1" applyFont="1" applyFill="1" applyBorder="0"/>
    <x:xf numFmtId="0" fontId="12" fillId="19" xfId="0" applyNumberFormat="1" applyFont="1" applyFill="1" applyBorder="0" applyAlignment="1">
      <x:alignment wrapText="1"/>
    </x:xf>
    <x:xf numFmtId="0" fontId="12" fillId="19" xfId="0" applyNumberFormat="1" applyFont="1" applyFill="1" applyBorder="0" applyAlignment="1">
      <x:alignment horizontal="left" wrapText="1"/>
    </x:xf>
    <x:xf numFmtId="0" fontId="12" fillId="19" xfId="0" applyNumberFormat="1" applyFont="1" applyFill="1" applyBorder="0" applyAlignment="1">
      <x:alignment horizontal="left" vertical="center" wrapText="1"/>
    </x:xf>
    <x:xf numFmtId="0" fontId="22" fillId="20" borderId="0" xfId="0" applyNumberFormat="1" applyFont="1" applyFill="1" applyBorder="1"/>
    <x:xf numFmtId="0" fontId="22" fillId="20" xfId="0" applyNumberFormat="1" applyFont="1" applyFill="1" applyBorder="0"/>
    <x:xf numFmtId="0" fontId="22" fillId="20" xfId="0" applyNumberFormat="1" applyFont="1" applyFill="1" applyBorder="0" applyAlignment="1">
      <x:alignment wrapText="1"/>
    </x:xf>
    <x:xf numFmtId="0" fontId="22" fillId="20" xfId="0" applyNumberFormat="1" applyFont="1" applyFill="1" applyBorder="0" applyAlignment="1">
      <x:alignment vertical="center" wrapText="1"/>
    </x:xf>
    <x:xf numFmtId="0" fontId="0" fillId="27" borderId="0" xfId="0" applyNumberFormat="1" applyFont="1" applyFill="1" applyBorder="1"/>
    <x:xf numFmtId="0" fontId="1" fillId="27" borderId="0" xfId="0" applyNumberFormat="1" applyFont="1" applyFill="1" applyBorder="1"/>
    <x:xf numFmtId="0" fontId="1" fillId="27" borderId="0" xfId="0" applyNumberFormat="1" applyFont="1" applyFill="1" applyBorder="1" applyAlignment="1">
      <x:alignment vertical="center"/>
    </x:xf>
    <x:xf numFmtId="0" fontId="0" fillId="28" borderId="0" xfId="0" applyNumberFormat="1" applyFont="1" applyFill="1" applyBorder="1"/>
    <x:xf numFmtId="0" fontId="2" fillId="28" borderId="0" xfId="0" applyNumberFormat="1" applyFont="1" applyFill="1" applyBorder="1"/>
    <x:xf numFmtId="0" fontId="2" fillId="28" borderId="0" xfId="0" applyNumberFormat="1" applyFont="1" applyFill="1" applyBorder="1" applyAlignment="1">
      <x:alignment wrapText="1"/>
    </x:xf>
    <x:xf numFmtId="0" fontId="2" fillId="28" borderId="0" xfId="0" applyNumberFormat="1" applyFont="1" applyFill="1" applyBorder="1" applyAlignment="1">
      <x:alignment vertical="center" wrapText="1"/>
    </x:xf>
    <x:xf numFmtId="0" fontId="5" fillId="28" borderId="0" xfId="0" applyNumberFormat="1" applyFont="1" applyFill="1" applyBorder="1"/>
    <x:xf numFmtId="0" fontId="5" fillId="28" borderId="0" xfId="0" applyNumberFormat="1" applyFont="1" applyFill="1" applyBorder="1" applyAlignment="1">
      <x:alignment vertical="center"/>
    </x:xf>
    <x:xf numFmtId="0" fontId="0" fillId="29" borderId="0" xfId="0" applyNumberFormat="1" applyFont="1" applyFill="1" applyBorder="1"/>
    <x:xf numFmtId="0" fontId="4" fillId="29" borderId="0" xfId="0" applyNumberFormat="1" applyFont="1" applyFill="1" applyBorder="1"/>
    <x:xf numFmtId="0" fontId="4" fillId="29" xfId="0" applyNumberFormat="1" applyFont="1" applyFill="1" applyBorder="0"/>
    <x:xf numFmtId="0" fontId="4" fillId="29" xfId="0" applyNumberFormat="1" applyFont="1" applyFill="1" applyBorder="0" applyAlignment="1">
      <x:alignment wrapText="1"/>
    </x:xf>
    <x:xf numFmtId="0" fontId="4" fillId="29" xfId="0" applyNumberFormat="1" applyFont="1" applyFill="1" applyBorder="0" applyAlignment="1">
      <x:alignment vertical="center" wrapText="1"/>
    </x:xf>
    <x:xf numFmtId="0" fontId="0" fillId="29" xfId="0" applyNumberFormat="1" applyFont="1" applyFill="1" applyBorder="0"/>
    <x:xf numFmtId="0" fontId="0" fillId="29" xfId="0" applyNumberFormat="1" applyFont="1" applyFill="1" applyBorder="0" applyAlignment="1">
      <x:alignment wrapText="1"/>
    </x:xf>
    <x:xf numFmtId="0" fontId="0" fillId="29" xfId="0" applyNumberFormat="1" applyFont="1" applyFill="1" applyBorder="0" applyAlignment="1">
      <x:alignment vertical="center" wrapText="1"/>
    </x:xf>
    <x:xf numFmtId="0" fontId="0" fillId="30" borderId="0" xfId="0" applyNumberFormat="1" applyFont="1" applyFill="1" applyBorder="1"/>
    <x:xf numFmtId="0" fontId="11" fillId="30" borderId="0" xfId="0" applyNumberFormat="1" applyFont="1" applyFill="1" applyBorder="1"/>
    <x:xf numFmtId="0" fontId="11" fillId="30" borderId="0" xfId="0" applyNumberFormat="1" applyFont="1" applyFill="1" applyBorder="1" applyAlignment="1">
      <x:alignment wrapText="1"/>
    </x:xf>
    <x:xf numFmtId="0" fontId="11" fillId="30" borderId="0" xfId="0" applyNumberFormat="1" applyFont="1" applyFill="1" applyBorder="1" applyAlignment="1">
      <x:alignment vertical="center" wrapText="1"/>
    </x:xf>
    <x:xf numFmtId="0" fontId="12" fillId="29" borderId="0" xfId="0" applyNumberFormat="1" applyFont="1" applyFill="1" applyBorder="1"/>
    <x:xf numFmtId="0" fontId="12" fillId="29" xfId="0" applyNumberFormat="1" applyFont="1" applyFill="1" applyBorder="0"/>
    <x:xf numFmtId="0" fontId="12" fillId="29" xfId="0" applyNumberFormat="1" applyFont="1" applyFill="1" applyBorder="0" applyAlignment="1">
      <x:alignment wrapText="1"/>
    </x:xf>
    <x:xf numFmtId="0" fontId="12" fillId="29" xfId="0" applyNumberFormat="1" applyFont="1" applyFill="1" applyBorder="0" applyAlignment="1">
      <x:alignment vertical="top" wrapText="1"/>
    </x:xf>
    <x:xf numFmtId="0" fontId="12" fillId="28" xfId="0" applyNumberFormat="1" applyFont="1" applyFill="1" applyBorder="0" applyAlignment="1">
      <x:alignment vertical="top" wrapText="1"/>
    </x:xf>
    <x:xf numFmtId="0" fontId="9" fillId="28" xfId="0" applyNumberFormat="1" applyFont="1" applyFill="1" applyBorder="0" applyAlignment="1">
      <x:alignment vertical="top" wrapText="1"/>
    </x:xf>
    <x:xf numFmtId="0" fontId="9" fillId="28" xfId="0" applyNumberFormat="1" applyFont="1" applyFill="1" applyBorder="0" applyAlignment="1">
      <x:alignment horizontal="center" vertical="top" wrapText="1"/>
    </x:xf>
    <x:xf numFmtId="0" fontId="9" fillId="28" xfId="0" applyNumberFormat="1" applyFont="1" applyFill="1" applyBorder="0" applyAlignment="1">
      <x:alignment horizontal="center" vertical="center" wrapText="1"/>
    </x:xf>
    <x:xf numFmtId="0" fontId="13" fillId="29" xfId="0" applyNumberFormat="1" applyFont="1" applyFill="1" applyBorder="0" applyAlignment="1">
      <x:alignment vertical="top" wrapText="1"/>
    </x:xf>
    <x:xf numFmtId="0" fontId="12" fillId="31" xfId="0" applyNumberFormat="1" applyFont="1" applyFill="1" applyBorder="0" applyAlignment="1">
      <x:alignment vertical="top" wrapText="1"/>
    </x:xf>
    <x:xf numFmtId="0" fontId="14" fillId="31" xfId="0" applyNumberFormat="1" applyFont="1" applyFill="1" applyBorder="0" applyAlignment="1">
      <x:alignment vertical="top" wrapText="1"/>
    </x:xf>
    <x:xf numFmtId="0" fontId="14" fillId="31" xfId="0" applyNumberFormat="1" applyFont="1" applyFill="1" applyBorder="0" applyAlignment="1">
      <x:alignment horizontal="center" vertical="top" wrapText="1"/>
    </x:xf>
    <x:xf numFmtId="0" fontId="14" fillId="31" xfId="0" applyNumberFormat="1" applyFont="1" applyFill="1" applyBorder="0" applyAlignment="1">
      <x:alignment horizontal="center" vertical="center" wrapText="1"/>
    </x:xf>
    <x:xf numFmtId="0" fontId="12" fillId="32" xfId="0" applyNumberFormat="1" applyFont="1" applyFill="1" applyBorder="0" applyAlignment="1">
      <x:alignment vertical="top" wrapText="1"/>
    </x:xf>
    <x:xf numFmtId="0" fontId="15" fillId="32" xfId="0" applyNumberFormat="1" applyFont="1" applyFill="1" applyBorder="0" applyAlignment="1">
      <x:alignment vertical="top" wrapText="1"/>
    </x:xf>
    <x:xf numFmtId="0" fontId="15" fillId="32" xfId="0" applyNumberFormat="1" applyFont="1" applyFill="1" applyBorder="0" applyAlignment="1">
      <x:alignment horizontal="center" vertical="top" wrapText="1"/>
    </x:xf>
    <x:xf numFmtId="0" fontId="15" fillId="32" xfId="0" applyNumberFormat="1" applyFont="1" applyFill="1" applyBorder="0" applyAlignment="1">
      <x:alignment horizontal="center" vertical="center" wrapText="1"/>
    </x:xf>
    <x:xf numFmtId="0" fontId="13" fillId="28" xfId="0" applyNumberFormat="1" applyFont="1" applyFill="1" applyBorder="0" applyAlignment="1">
      <x:alignment vertical="top" wrapText="1"/>
    </x:xf>
    <x:xf numFmtId="0" fontId="13" fillId="28" xfId="0" applyNumberFormat="1" applyFont="1" applyFill="1" applyBorder="0" applyAlignment="1">
      <x:alignment horizontal="center" vertical="top" wrapText="1"/>
    </x:xf>
    <x:xf numFmtId="0" fontId="13" fillId="28" xfId="0" applyNumberFormat="1" applyFont="1" applyFill="1" applyBorder="0" applyAlignment="1">
      <x:alignment horizontal="center" vertical="center" wrapText="1"/>
    </x:xf>
    <x:xf numFmtId="203" fontId="12" fillId="29" xfId="0" applyNumberFormat="1" applyFont="1" applyFill="1" applyBorder="0" applyAlignment="1">
      <x:alignment vertical="top" wrapText="1"/>
    </x:xf>
    <x:xf numFmtId="201" fontId="12" fillId="29" xfId="0" applyNumberFormat="1" applyFont="1" applyFill="1" applyBorder="0" applyAlignment="1">
      <x:alignment vertical="top" wrapText="1"/>
    </x:xf>
    <x:xf numFmtId="206" fontId="12" fillId="29" xfId="0" applyNumberFormat="1" applyFont="1" applyFill="1" applyBorder="0" applyAlignment="1">
      <x:alignment vertical="top" wrapText="1"/>
    </x:xf>
    <x:xf numFmtId="202" fontId="12" fillId="29" xfId="0" applyNumberFormat="1" applyFont="1" applyFill="1" applyBorder="0" applyAlignment="1">
      <x:alignment vertical="top" wrapText="1"/>
    </x:xf>
    <x:xf numFmtId="0" fontId="16" fillId="29" xfId="0" applyNumberFormat="1" applyFont="1" applyFill="1" applyBorder="0" applyAlignment="1">
      <x:alignment vertical="top" wrapText="1"/>
    </x:xf>
    <x:xf numFmtId="0" fontId="16" fillId="28" xfId="0" applyNumberFormat="1" applyFont="1" applyFill="1" applyBorder="0" applyAlignment="1">
      <x:alignment vertical="top" wrapText="1"/>
    </x:xf>
    <x:xf numFmtId="0" fontId="16" fillId="33" xfId="0" applyNumberFormat="1" applyFont="1" applyFill="1" applyBorder="0" applyAlignment="1">
      <x:alignment vertical="top" wrapText="1"/>
    </x:xf>
    <x:xf numFmtId="0" fontId="16" fillId="31" xfId="0" applyNumberFormat="1" applyFont="1" applyFill="1" applyBorder="0" applyAlignment="1">
      <x:alignment vertical="top" wrapText="1"/>
    </x:xf>
    <x:xf numFmtId="0" fontId="16" fillId="32" xfId="0" applyNumberFormat="1" applyFont="1" applyFill="1" applyBorder="0" applyAlignment="1">
      <x:alignment vertical="top" wrapText="1"/>
    </x:xf>
    <x:xf numFmtId="0" fontId="16" fillId="34" xfId="0" applyNumberFormat="1" applyFont="1" applyFill="1" applyBorder="0" applyAlignment="1">
      <x:alignment vertical="top" wrapText="1"/>
    </x:xf>
    <x:xf numFmtId="0" fontId="0" fillId="35" borderId="0" xfId="0" applyNumberFormat="1" applyFont="1" applyFill="1" applyBorder="1"/>
    <x:xf numFmtId="0" fontId="17" fillId="27" borderId="0" xfId="0" applyNumberFormat="1" applyFont="1" applyFill="1" applyBorder="1"/>
    <x:xf numFmtId="0" fontId="17" fillId="27" borderId="0" xfId="0" applyNumberFormat="1" applyFont="1" applyFill="1" applyBorder="1" applyAlignment="1">
      <x:alignment vertical="center"/>
    </x:xf>
    <x:xf numFmtId="0" fontId="18" fillId="28" borderId="0" xfId="0" applyNumberFormat="1" applyFont="1" applyFill="1" applyBorder="1"/>
    <x:xf numFmtId="0" fontId="18" fillId="28" borderId="0" xfId="0" applyNumberFormat="1" applyFont="1" applyFill="1" applyBorder="1" applyAlignment="1">
      <x:alignment wrapText="1"/>
    </x:xf>
    <x:xf numFmtId="0" fontId="18" fillId="28" borderId="0" xfId="0" applyNumberFormat="1" applyFont="1" applyFill="1" applyBorder="1" applyAlignment="1">
      <x:alignment vertical="center" wrapText="1"/>
    </x:xf>
    <x:xf numFmtId="0" fontId="4" fillId="29" xfId="0" applyNumberFormat="1" applyFont="1" applyFill="1" applyBorder="0" applyAlignment="1">
      <x:alignment horizontal="center"/>
    </x:xf>
    <x:xf numFmtId="0" fontId="4" fillId="29" xfId="0" applyNumberFormat="1" applyFont="1" applyFill="1" applyBorder="0" applyAlignment="1">
      <x:alignment horizontal="center" vertical="center"/>
    </x:xf>
    <x:xf numFmtId="0" fontId="19" fillId="29" borderId="0" xfId="0" applyNumberFormat="1" applyFont="1" applyFill="1" applyBorder="1"/>
    <x:xf numFmtId="0" fontId="19" fillId="29" xfId="0" applyNumberFormat="1" applyFont="1" applyFill="1" applyBorder="0"/>
    <x:xf numFmtId="0" fontId="19" fillId="29" xfId="0" applyNumberFormat="1" applyFont="1" applyFill="1" applyBorder="0" applyAlignment="1">
      <x:alignment vertical="center"/>
    </x:xf>
    <x:xf numFmtId="0" fontId="20" fillId="29" borderId="0" xfId="0" applyNumberFormat="1" applyFont="1" applyFill="1" applyBorder="1"/>
    <x:xf numFmtId="0" fontId="20" fillId="29" xfId="0" applyNumberFormat="1" applyFont="1" applyFill="1" applyBorder="0"/>
    <x:xf numFmtId="0" fontId="20" fillId="29" xfId="0" applyNumberFormat="1" applyFont="1" applyFill="1" applyBorder="0" applyAlignment="1">
      <x:alignment vertical="center"/>
    </x:xf>
    <x:xf numFmtId="0" fontId="21" fillId="29" borderId="0" xfId="0" applyNumberFormat="1" applyFont="1" applyFill="1" applyBorder="1"/>
    <x:xf numFmtId="0" fontId="21" fillId="29" xfId="0" applyNumberFormat="1" applyFont="1" applyFill="1" applyBorder="0"/>
    <x:xf numFmtId="0" fontId="21" fillId="29" xfId="0" applyNumberFormat="1" applyFont="1" applyFill="1" applyBorder="0" applyAlignment="1">
      <x:alignment wrapText="1"/>
    </x:xf>
    <x:xf numFmtId="0" fontId="21" fillId="29" xfId="0" applyNumberFormat="1" applyFont="1" applyFill="1" applyBorder="0" applyAlignment="1">
      <x:alignment vertical="center" wrapText="1"/>
    </x:xf>
    <x:xf numFmtId="0" fontId="13" fillId="29" borderId="0" xfId="0" applyNumberFormat="1" applyFont="1" applyFill="1" applyBorder="1"/>
    <x:xf numFmtId="0" fontId="13" fillId="29" xfId="0" applyNumberFormat="1" applyFont="1" applyFill="1" applyBorder="0"/>
    <x:xf numFmtId="0" fontId="13" fillId="29" xfId="0" applyNumberFormat="1" applyFont="1" applyFill="1" applyBorder="0" applyAlignment="1">
      <x:alignment wrapText="1"/>
    </x:xf>
    <x:xf numFmtId="0" fontId="13" fillId="29" xfId="0" applyNumberFormat="1" applyFont="1" applyFill="1" applyBorder="0" applyAlignment="1">
      <x:alignment vertical="center" wrapText="1"/>
    </x:xf>
    <x:xf numFmtId="0" fontId="12" fillId="29" xfId="0" applyNumberFormat="1" applyFont="1" applyFill="1" applyBorder="0" applyAlignment="1">
      <x:alignment horizontal="left" wrapText="1"/>
    </x:xf>
    <x:xf numFmtId="0" fontId="12" fillId="29" xfId="0" applyNumberFormat="1" applyFont="1" applyFill="1" applyBorder="0" applyAlignment="1">
      <x:alignment horizontal="left" vertical="center" wrapText="1"/>
    </x:xf>
    <x:xf numFmtId="0" fontId="13" fillId="28" borderId="0" xfId="0" applyNumberFormat="1" applyFont="1" applyFill="1" applyBorder="1"/>
    <x:xf numFmtId="0" fontId="13" fillId="28" xfId="0" applyNumberFormat="1" applyFont="1" applyFill="1" applyBorder="0"/>
    <x:xf numFmtId="0" fontId="13" fillId="28" xfId="0" applyNumberFormat="1" applyFont="1" applyFill="1" applyBorder="0" applyAlignment="1">
      <x:alignment wrapText="1"/>
    </x:xf>
    <x:xf numFmtId="0" fontId="13" fillId="28" xfId="0" applyNumberFormat="1" applyFont="1" applyFill="1" applyBorder="0" applyAlignment="1">
      <x:alignment vertical="center" wrapText="1"/>
    </x:xf>
    <x:xf numFmtId="0" fontId="12" fillId="28" borderId="0" xfId="0" applyNumberFormat="1" applyFont="1" applyFill="1" applyBorder="1"/>
    <x:xf numFmtId="0" fontId="12" fillId="28" xfId="0" applyNumberFormat="1" applyFont="1" applyFill="1" applyBorder="0"/>
    <x:xf numFmtId="0" fontId="12" fillId="28" xfId="0" applyNumberFormat="1" applyFont="1" applyFill="1" applyBorder="0" applyAlignment="1">
      <x:alignment wrapText="1"/>
    </x:xf>
    <x:xf numFmtId="0" fontId="12" fillId="28" xfId="0" applyNumberFormat="1" applyFont="1" applyFill="1" applyBorder="0" applyAlignment="1">
      <x:alignment horizontal="left" wrapText="1"/>
    </x:xf>
    <x:xf numFmtId="0" fontId="12" fillId="28" xfId="0" applyNumberFormat="1" applyFont="1" applyFill="1" applyBorder="0" applyAlignment="1">
      <x:alignment horizontal="left" vertical="center" wrapText="1"/>
    </x:xf>
    <x:xf numFmtId="0" fontId="22" fillId="29" borderId="0" xfId="0" applyNumberFormat="1" applyFont="1" applyFill="1" applyBorder="1"/>
    <x:xf numFmtId="0" fontId="22" fillId="29" xfId="0" applyNumberFormat="1" applyFont="1" applyFill="1" applyBorder="0"/>
    <x:xf numFmtId="0" fontId="22" fillId="29" xfId="0" applyNumberFormat="1" applyFont="1" applyFill="1" applyBorder="0" applyAlignment="1">
      <x:alignment wrapText="1"/>
    </x:xf>
    <x:xf numFmtId="0" fontId="22" fillId="29" xfId="0" applyNumberFormat="1" applyFont="1" applyFill="1" applyBorder="0" applyAlignment="1">
      <x:alignment vertical="center" wrapText="1"/>
    </x:xf>
  </x:cellXfs>
  <x:cellStyles count="1">
    <x:cellStyle name="Normal" xfId="0"/>
  </x:cellStyles>
  <x:dxfs count="22">
    <x:dxf>
      <x:font>
        <x:b/>
        <x:color rgb="FFFFFFFF"/>
      </x:font>
      <x:fill>
        <x:patternFill>
          <x:bgColor rgb="FFB94F5C"/>
        </x:patternFill>
      </x:fill>
    </x:dxf>
    <x:dxf>
      <x:font>
        <x:b/>
        <x:color rgb="FF006C70"/>
      </x:font>
      <x:fill>
        <x:patternFill>
          <x:bgColor rgb="FFDCEEEE"/>
        </x:patternFill>
      </x:fill>
    </x:dxf>
    <x:dxf>
      <x:font>
        <x:b/>
        <x:color rgb="FFFFFFFF"/>
      </x:font>
      <x:fill>
        <x:patternFill>
          <x:bgColor rgb="FFC88A2D"/>
        </x:patternFill>
      </x:fill>
    </x:dxf>
    <x:dxf>
      <x:font>
        <x:b/>
        <x:color rgb="FF006C70"/>
      </x:font>
      <x:fill>
        <x:patternFill>
          <x:bgColor rgb="FFDCEEEE"/>
        </x:patternFill>
      </x:fill>
    </x:dxf>
    <x:dxf>
      <x:font>
        <x:b/>
        <x:color rgb="FFFFFFFF"/>
      </x:font>
      <x:fill>
        <x:patternFill>
          <x:bgColor rgb="FFC88A2D"/>
        </x:patternFill>
      </x:fill>
    </x:dxf>
    <x:dxf>
      <x:font>
        <x:b/>
        <x:color rgb="FF006C70"/>
      </x:font>
      <x:fill>
        <x:patternFill>
          <x:bgColor rgb="FFDCEEEE"/>
        </x:patternFill>
      </x:fill>
    </x:dxf>
    <x:dxf>
      <x:font>
        <x:b/>
        <x:color rgb="FFFFFFFF"/>
      </x:font>
      <x:fill>
        <x:patternFill>
          <x:bgColor rgb="FFC88A2D"/>
        </x:patternFill>
      </x:fill>
    </x:dxf>
    <x:dxf>
      <x:font>
        <x:b/>
        <x:color rgb="FF006C70"/>
      </x:font>
      <x:fill>
        <x:patternFill>
          <x:bgColor rgb="FFDCEEEE"/>
        </x:patternFill>
      </x:fill>
    </x:dxf>
    <x:dxf>
      <x:font>
        <x:b/>
        <x:color rgb="FF1F7A4D"/>
      </x:font>
      <x:fill>
        <x:patternFill>
          <x:bgColor rgb="FFE4F1E9"/>
        </x:patternFill>
      </x:fill>
    </x:dxf>
    <x:dxf>
      <x:font>
        <x:b/>
        <x:color rgb="FF1F7A4D"/>
      </x:font>
      <x:fill>
        <x:patternFill>
          <x:bgColor rgb="FFE4F1E9"/>
        </x:patternFill>
      </x:fill>
    </x:dxf>
    <x:dxf>
      <x:font>
        <x:b/>
        <x:color rgb="FF1F7A4D"/>
      </x:font>
      <x:fill>
        <x:patternFill>
          <x:bgColor rgb="FFE4F1E9"/>
        </x:patternFill>
      </x:fill>
    </x:dxf>
    <x:dxf>
      <x:font>
        <x:b/>
        <x:color rgb="FFC88A2D"/>
      </x:font>
      <x:fill>
        <x:patternFill>
          <x:bgColor rgb="FFFAEFD9"/>
        </x:patternFill>
      </x:fill>
    </x:dxf>
    <x:dxf>
      <x:font>
        <x:b/>
        <x:color rgb="FFB94F5C"/>
      </x:font>
      <x:fill>
        <x:patternFill>
          <x:bgColor rgb="FFF7E4E7"/>
        </x:patternFill>
      </x:fill>
    </x:dxf>
    <x:dxf>
      <x:font>
        <x:b/>
        <x:color rgb="FFC88A2D"/>
      </x:font>
      <x:fill>
        <x:patternFill>
          <x:bgColor rgb="FFFAEFD9"/>
        </x:patternFill>
      </x:fill>
    </x:dxf>
    <x:dxf>
      <x:font>
        <x:b/>
        <x:color rgb="FFC88A2D"/>
      </x:font>
      <x:fill>
        <x:patternFill>
          <x:bgColor rgb="FFFAEFD9"/>
        </x:patternFill>
      </x:fill>
    </x:dxf>
    <x:dxf>
      <x:font>
        <x:b/>
        <x:color rgb="FF1F7A4D"/>
      </x:font>
      <x:fill>
        <x:patternFill patternType="solid">
          <x:bgColor rgb="FFE4F1E9"/>
        </x:patternFill>
      </x:fill>
    </x:dxf>
    <x:dxf>
      <x:font>
        <x:b/>
        <x:color rgb="FF1F7A4D"/>
      </x:font>
      <x:fill>
        <x:patternFill patternType="solid">
          <x:bgColor rgb="FFE4F1E9"/>
        </x:patternFill>
      </x:fill>
    </x:dxf>
    <x:dxf>
      <x:font>
        <x:b/>
        <x:color rgb="FF1F7A4D"/>
      </x:font>
      <x:fill>
        <x:patternFill patternType="solid">
          <x:bgColor rgb="FFE4F1E9"/>
        </x:patternFill>
      </x:fill>
    </x:dxf>
    <x:dxf>
      <x:font>
        <x:b/>
        <x:color rgb="FFC88A2D"/>
      </x:font>
      <x:fill>
        <x:patternFill patternType="solid">
          <x:bgColor rgb="FFFAEFD9"/>
        </x:patternFill>
      </x:fill>
    </x:dxf>
    <x:dxf>
      <x:font>
        <x:b/>
        <x:color rgb="FFB94F5C"/>
      </x:font>
      <x:fill>
        <x:patternFill patternType="solid">
          <x:bgColor rgb="FFF7E4E7"/>
        </x:patternFill>
      </x:fill>
    </x:dxf>
    <x:dxf>
      <x:font>
        <x:b/>
        <x:color rgb="FFC88A2D"/>
      </x:font>
      <x:fill>
        <x:patternFill patternType="solid">
          <x:bgColor rgb="FFFAEFD9"/>
        </x:patternFill>
      </x:fill>
    </x:dxf>
    <x:dxf>
      <x:font>
        <x:b/>
        <x:color rgb="FFC88A2D"/>
      </x:font>
      <x:fill>
        <x:patternFill patternType="solid">
          <x:bgColor rgb="FFFAEF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773f85ae74908" /><Relationship Type="http://schemas.openxmlformats.org/officeDocument/2006/relationships/theme" Target="/xl/theme/theme1.xml" Id="R992dca69f3bf4760" /><Relationship Type="http://schemas.openxmlformats.org/officeDocument/2006/relationships/sharedStrings" Target="/xl/sharedStrings.xml" Id="R0949230ce49b475f" /><Relationship Type="http://schemas.openxmlformats.org/officeDocument/2006/relationships/worksheet" Target="/xl/worksheets/sheet1.xml" Id="R87d7cfffc7d847c0" /><Relationship Type="http://schemas.openxmlformats.org/officeDocument/2006/relationships/worksheet" Target="/xl/worksheets/sheet2.xml" Id="R14546f44a33b42c2" /><Relationship Type="http://schemas.openxmlformats.org/officeDocument/2006/relationships/worksheet" Target="/xl/worksheets/sheet3.xml" Id="R433fcd8aaff74c80" /><Relationship Type="http://schemas.openxmlformats.org/officeDocument/2006/relationships/worksheet" Target="/xl/worksheets/sheet4.xml" Id="R6910f3bf04f2424b" /><Relationship Type="http://schemas.openxmlformats.org/officeDocument/2006/relationships/worksheet" Target="/xl/worksheets/sheet5.xml" Id="R23cf192727604ea7" /><Relationship Type="http://schemas.openxmlformats.org/officeDocument/2006/relationships/worksheet" Target="/xl/worksheets/sheet6.xml" Id="R5712618ba2174374" /><Relationship Type="http://schemas.openxmlformats.org/officeDocument/2006/relationships/worksheet" Target="/xl/worksheets/sheet7.xml" Id="R380c3136a2b74238" /><Relationship Type="http://schemas.openxmlformats.org/officeDocument/2006/relationships/worksheet" Target="/xl/worksheets/sheet8.xml" Id="Ra367ad38f46a44ad" /><Relationship Type="http://schemas.openxmlformats.org/officeDocument/2006/relationships/worksheet" Target="/xl/worksheets/sheet9.xml" Id="R293d5ac0f7d14f3b" /><Relationship Type="http://schemas.openxmlformats.org/officeDocument/2006/relationships/worksheet" Target="/xl/worksheets/sheet10.xml" Id="R7d5d9e21af7e49f3" /><Relationship Type="http://schemas.openxmlformats.org/officeDocument/2006/relationships/worksheet" Target="/xl/worksheets/sheet11.xml" Id="R6ff662bfd3174c1d" /><Relationship Type="http://schemas.openxmlformats.org/officeDocument/2006/relationships/worksheet" Target="/xl/worksheets/sheet12.xml" Id="Rcc0dc53733194d5f" /><Relationship Type="http://schemas.openxmlformats.org/officeDocument/2006/relationships/worksheet" Target="/xl/worksheets/sheet13.xml" Id="R4524314e79b948c7" /><Relationship Type="http://schemas.openxmlformats.org/officeDocument/2006/relationships/worksheet" Target="/xl/worksheets/sheet14.xml" Id="Rd9d60a72a40d405b" /><Relationship Type="http://schemas.openxmlformats.org/officeDocument/2006/relationships/worksheet" Target="/xl/worksheets/sheet15.xml" Id="Rc3f273a0fe5d481e" /><Relationship Type="http://schemas.openxmlformats.org/officeDocument/2006/relationships/worksheet" Target="/xl/worksheets/sheet16.xml" Id="R6768a14333384f12" /><Relationship Type="http://schemas.openxmlformats.org/officeDocument/2006/relationships/worksheet" Target="/xl/worksheets/sheet17.xml" Id="R2fd013de97984f3d" /><Relationship Type="http://schemas.openxmlformats.org/officeDocument/2006/relationships/worksheet" Target="/xl/worksheets/sheet18.xml" Id="R5dd9ee8f4b8f4040" /><Relationship Type="http://schemas.openxmlformats.org/officeDocument/2006/relationships/worksheet" Target="/xl/worksheets/sheet19.xml" Id="Rdafb920d744a4292" /><Relationship Type="http://schemas.openxmlformats.org/officeDocument/2006/relationships/worksheet" Target="/xl/worksheets/sheet20.xml" Id="Raee6a43b427744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b18aa178b424afc" /><Relationship Type="http://schemas.openxmlformats.org/officeDocument/2006/relationships/chart" Target="/xl/drawings/charts/chart2.xml" Id="Rcdce2bf6cfbc473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9530083b60954245" /><Relationship Type="http://schemas.openxmlformats.org/officeDocument/2006/relationships/chart" Target="/xl/drawings/charts/chart4.xml" Id="R8f6cd74cd16e4fb2" /><Relationship Type="http://schemas.openxmlformats.org/officeDocument/2006/relationships/chart" Target="/xl/drawings/charts/chart5.xml" Id="Rf0db47826a3f49d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Generación de caja y liquidez · 2026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CFO</c:v>
          </c:tx>
          <c:marker>
            <c:symbol val="none"/>
          </c:marker>
          <c:cat>
            <c:strRef>
              <c:f>'KPI_Summary'!$A$31:$A$42</c:f>
              <c:strCache>
                <c:ptCount val="0"/>
              </c:strCache>
            </c:strRef>
          </c:cat>
          <c:val>
            <c:numRef>
              <c:f>'KPI_Summary'!$B$31:$B$42</c:f>
              <c:numCache>
                <c:formatCode>€ #,##0;[Black]-€ 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Free Cash Flow</c:v>
          </c:tx>
          <c:marker>
            <c:symbol val="none"/>
          </c:marker>
          <c:cat>
            <c:strRef>
              <c:f>'KPI_Summary'!$A$31:$A$42</c:f>
              <c:strCache>
                <c:ptCount val="0"/>
              </c:strCache>
            </c:strRef>
          </c:cat>
          <c:val>
            <c:numRef>
              <c:f>'KPI_Summary'!$C$31:$C$42</c:f>
              <c:numCache>
                <c:formatCode>€ #,##0;[Black]-€ 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Efectivo final</c:v>
          </c:tx>
          <c:marker>
            <c:symbol val="none"/>
          </c:marker>
          <c:cat>
            <c:strRef>
              <c:f>'KPI_Summary'!$A$31:$A$42</c:f>
              <c:strCache>
                <c:ptCount val="0"/>
              </c:strCache>
            </c:strRef>
          </c:cat>
          <c:val>
            <c:numRef>
              <c:f>'KPI_Summary'!$D$31:$D$42</c:f>
              <c:numCache>
                <c:formatCode>€ #,##0;[Black]-€ 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 #,##0,,&quot; M&quot;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Capital circulante · días 2026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DSO</c:v>
          </c:tx>
          <c:marker>
            <c:symbol val="none"/>
          </c:marker>
          <c:cat>
            <c:strRef>
              <c:f>'KPI_Summary'!$F$31:$F$42</c:f>
              <c:strCache>
                <c:ptCount val="0"/>
              </c:strCache>
            </c:strRef>
          </c:cat>
          <c:val>
            <c:numRef>
              <c:f>'KPI_Summary'!$G$31:$G$42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DIO</c:v>
          </c:tx>
          <c:marker>
            <c:symbol val="none"/>
          </c:marker>
          <c:cat>
            <c:strRef>
              <c:f>'KPI_Summary'!$F$31:$F$42</c:f>
              <c:strCache>
                <c:ptCount val="0"/>
              </c:strCache>
            </c:strRef>
          </c:cat>
          <c:val>
            <c:numRef>
              <c:f>'KPI_Summary'!$H$31:$H$42</c:f>
              <c:numCache>
                <c:formatCode>0.0</c:formatCode>
                <c:ptCount val="0"/>
              </c:numCache>
            </c:numRef>
          </c:val>
          <c:smooth val="0"/>
        </c:ser>
        <c:ser>
          <c:idx val="2"/>
          <c:order val="2"/>
          <c:tx>
            <c:v>DPO</c:v>
          </c:tx>
          <c:marker>
            <c:symbol val="none"/>
          </c:marker>
          <c:cat>
            <c:strRef>
              <c:f>'KPI_Summary'!$F$31:$F$42</c:f>
              <c:strCache>
                <c:ptCount val="0"/>
              </c:strCache>
            </c:strRef>
          </c:cat>
          <c:val>
            <c:numRef>
              <c:f>'KPI_Summary'!$I$31:$I$42</c:f>
              <c:numCache>
                <c:formatCode>0.0</c:formatCode>
                <c:ptCount val="0"/>
              </c:numCache>
            </c:numRef>
          </c:val>
          <c:smooth val="0"/>
        </c:ser>
        <c:ser>
          <c:idx val="3"/>
          <c:order val="3"/>
          <c:tx>
            <c:v>CCC</c:v>
          </c:tx>
          <c:marker>
            <c:symbol val="none"/>
          </c:marker>
          <c:cat>
            <c:strRef>
              <c:f>'KPI_Summary'!$F$31:$F$42</c:f>
              <c:strCache>
                <c:ptCount val="0"/>
              </c:strCache>
            </c:strRef>
          </c:cat>
          <c:val>
            <c:numRef>
              <c:f>'KPI_Summary'!$J$31:$J$42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Beneficio frente a generación de caja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EBITDA</c:v>
          </c:tx>
          <c:cat>
            <c:strRef>
              <c:f>'Analysis_Dashboard'!$G$5:$G$7</c:f>
              <c:strCache>
                <c:ptCount val="0"/>
              </c:strCache>
            </c:strRef>
          </c:cat>
          <c:val>
            <c:numRef>
              <c:f>'Analysis_Dashboard'!$H$5:$H$7</c:f>
              <c:numCache>
                <c:formatCode>€ #,##0;[Black]-€ #,##0</c:formatCode>
                <c:ptCount val="0"/>
              </c:numCache>
            </c:numRef>
          </c:val>
        </c:ser>
        <c:ser>
          <c:idx val="1"/>
          <c:order val="1"/>
          <c:tx>
            <c:v>Resultado neto</c:v>
          </c:tx>
          <c:cat>
            <c:strRef>
              <c:f>'Analysis_Dashboard'!$G$5:$G$7</c:f>
              <c:strCache>
                <c:ptCount val="0"/>
              </c:strCache>
            </c:strRef>
          </c:cat>
          <c:val>
            <c:numRef>
              <c:f>'Analysis_Dashboard'!$I$5:$I$7</c:f>
              <c:numCache>
                <c:formatCode>€ #,##0;[Black]-€ #,##0</c:formatCode>
                <c:ptCount val="0"/>
              </c:numCache>
            </c:numRef>
          </c:val>
        </c:ser>
        <c:ser>
          <c:idx val="2"/>
          <c:order val="2"/>
          <c:tx>
            <c:v>CFO</c:v>
          </c:tx>
          <c:cat>
            <c:strRef>
              <c:f>'Analysis_Dashboard'!$G$5:$G$7</c:f>
              <c:strCache>
                <c:ptCount val="0"/>
              </c:strCache>
            </c:strRef>
          </c:cat>
          <c:val>
            <c:numRef>
              <c:f>'Analysis_Dashboard'!$J$5:$J$7</c:f>
              <c:numCache>
                <c:formatCode>€ #,##0;[Black]-€ #,##0</c:formatCode>
                <c:ptCount val="0"/>
              </c:numCache>
            </c:numRef>
          </c:val>
        </c:ser>
        <c:ser>
          <c:idx val="3"/>
          <c:order val="3"/>
          <c:tx>
            <c:v>FCF</c:v>
          </c:tx>
          <c:cat>
            <c:strRef>
              <c:f>'Analysis_Dashboard'!$G$5:$G$7</c:f>
              <c:strCache>
                <c:ptCount val="0"/>
              </c:strCache>
            </c:strRef>
          </c:cat>
          <c:val>
            <c:numRef>
              <c:f>'Analysis_Dashboard'!$K$5:$K$7</c:f>
              <c:numCache>
                <c:formatCode>€ #,##0;[Black]-€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 #,##0,,&quot; M&quot;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Efectivo frente a deuda y arrendamientos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Efectivo</c:v>
          </c:tx>
          <c:marker>
            <c:symbol val="none"/>
          </c:marker>
          <c:cat>
            <c:strRef>
              <c:f>'Analysis_Dashboard'!$N$28:$N$63</c:f>
              <c:strCache>
                <c:ptCount val="0"/>
              </c:strCache>
            </c:strRef>
          </c:cat>
          <c:val>
            <c:numRef>
              <c:f>'Analysis_Dashboard'!$O$28:$O$63</c:f>
              <c:numCache>
                <c:formatCode>€ #,##0;[Black]-€ 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Deuda + leases</c:v>
          </c:tx>
          <c:marker>
            <c:symbol val="none"/>
          </c:marker>
          <c:cat>
            <c:strRef>
              <c:f>'Analysis_Dashboard'!$N$28:$N$63</c:f>
              <c:strCache>
                <c:ptCount val="0"/>
              </c:strCache>
            </c:strRef>
          </c:cat>
          <c:val>
            <c:numRef>
              <c:f>'Analysis_Dashboard'!$P$28:$P$63</c:f>
              <c:numCache>
                <c:formatCode>€ #,##0;[Black]-€ 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 #,##0,,&quot; M&quot;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Ciclo de conversión de caja · días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CCC</c:v>
          </c:tx>
          <c:marker>
            <c:symbol val="none"/>
          </c:marker>
          <c:cat>
            <c:strRef>
              <c:f>'Analysis_Dashboard'!$R$28:$R$63</c:f>
              <c:strCache>
                <c:ptCount val="0"/>
              </c:strCache>
            </c:strRef>
          </c:cat>
          <c:val>
            <c:numRef>
              <c:f>'Analysis_Dashboard'!$S$28:$S$63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20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18aa178b424afc"/>
        </a:graphicData>
      </a:graphic>
    </xdr:graphicFrame>
    <xdr:clientData/>
  </xdr:twoCellAnchor>
  <xdr:twoCellAnchor>
    <xdr:from>
      <xdr:col>11</xdr:col>
      <xdr:colOff>0</xdr:colOff>
      <xdr:row>16</xdr:row>
      <xdr:rowOff>0</xdr:rowOff>
    </xdr:from>
    <xdr:to>
      <xdr:col>20</xdr:col>
      <xdr:colOff>0</xdr:colOff>
      <xdr:row>28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dce2bf6cfbc473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30083b60954245"/>
        </a:graphicData>
      </a:graphic>
    </xdr:graphicFrame>
    <xdr:clientData/>
  </xdr:twoCellAnchor>
  <xdr:twoCellAnchor>
    <xdr:from>
      <xdr:col>13</xdr:col>
      <xdr:colOff>0</xdr:colOff>
      <xdr:row>3</xdr:row>
      <xdr:rowOff>0</xdr:rowOff>
    </xdr:from>
    <xdr:to>
      <xdr:col>22</xdr:col>
      <xdr:colOff>0</xdr:colOff>
      <xdr:row>13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f6cd74cd16e4fb2"/>
        </a:graphicData>
      </a:graphic>
    </xdr:graphicFrame>
    <xdr:clientData/>
  </xdr:twoCellAnchor>
  <xdr:twoCellAnchor>
    <xdr:from>
      <xdr:col>13</xdr:col>
      <xdr:colOff>0</xdr:colOff>
      <xdr:row>14</xdr:row>
      <xdr:rowOff>0</xdr:rowOff>
    </xdr:from>
    <xdr:to>
      <xdr:col>22</xdr:col>
      <xdr:colOff>0</xdr:colOff>
      <xdr:row>24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db47826a3f49d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teDimTable" displayName="DateDimTable" ref="A1:G37" headerRowCount="1" totalsRowCount="0" totalsRowShown="0">
  <x:tableColumns count="7">
    <x:tableColumn id="1" name="Period_Key"/>
    <x:tableColumn id="2" name="Month_End"/>
    <x:tableColumn id="3" name="Year"/>
    <x:tableColumn id="4" name="Quarter"/>
    <x:tableColumn id="5" name="Month_Number"/>
    <x:tableColumn id="6" name="Month_Name_ES"/>
    <x:tableColumn id="7" name="Days_In_Mont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countMapTable" displayName="AccountMapTable" ref="A1:F35" headerRowCount="1" totalsRowCount="0" totalsRowShown="0">
  <x:tableColumns count="6">
    <x:tableColumn id="1" name="Statement"/>
    <x:tableColumn id="2" name="Account_Code"/>
    <x:tableColumn id="3" name="Account_Name"/>
    <x:tableColumn id="4" name="Section"/>
    <x:tableColumn id="5" name="Cash_Flow_Mapping"/>
    <x:tableColumn id="6" name="Sign_Conven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comeStatementTable" displayName="IncomeStatementTable" ref="A1:H613" headerRowCount="1" totalsRowCount="0" totalsRowShown="0">
  <x:tableColumns count="8">
    <x:tableColumn id="1" name="Period_Key"/>
    <x:tableColumn id="2" name="Month_End"/>
    <x:tableColumn id="3" name="Account_Code"/>
    <x:tableColumn id="4" name="Account_Name"/>
    <x:tableColumn id="5" name="Amount_EUR"/>
    <x:tableColumn id="6" name="Data_Source"/>
    <x:tableColumn id="7" name="Scenario"/>
    <x:tableColumn id="8" name="Currenc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BalanceSheetTable" displayName="BalanceSheetTable" ref="A1:H630" headerRowCount="1" totalsRowCount="0" totalsRowShown="0">
  <x:tableColumns count="8">
    <x:tableColumn id="1" name="Period_Key"/>
    <x:tableColumn id="2" name="Month_End"/>
    <x:tableColumn id="3" name="Account_Code"/>
    <x:tableColumn id="4" name="Account_Name"/>
    <x:tableColumn id="5" name="Amount_EUR"/>
    <x:tableColumn id="6" name="Data_Source"/>
    <x:tableColumn id="7" name="Scenario"/>
    <x:tableColumn id="8" name="Currenc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upplementalMovementsTable" displayName="SupplementalMovementsTable" ref="A1:H361" headerRowCount="1" totalsRowCount="0" totalsRowShown="0">
  <x:tableColumns count="8">
    <x:tableColumn id="1" name="Period_Key"/>
    <x:tableColumn id="2" name="Month_End"/>
    <x:tableColumn id="3" name="Movement_Code"/>
    <x:tableColumn id="4" name="Movement_Name"/>
    <x:tableColumn id="5" name="Amount_EUR"/>
    <x:tableColumn id="6" name="Cash_Flow_Section"/>
    <x:tableColumn id="7" name="Data_Source"/>
    <x:tableColumn id="8" name="Scenari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d138b853bb648f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44a8f8e605e4da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c1f284d4f55d417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44e86982ab1b4e4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39d1c90f53bd4de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d1cc268ba348e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2.xml" Id="R5654a8f432e942d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2" customHeight="1">
      <x:c r="A1" s="3" t="str">
        <x:v>Proyecto 04 · Cash Flow &amp; Financial Health</x:v>
      </x:c>
      <x:c r="B1" s="3" t="str">
        <x:v>Proyecto 04 · Cash Flow &amp; Financial Health</x:v>
      </x:c>
      <x:c r="C1" s="3" t="str">
        <x:v>Proyecto 04 · Cash Flow &amp; Financial Health</x:v>
      </x:c>
      <x:c r="D1" s="3" t="str">
        <x:v>Proyecto 04 · Cash Flow &amp; Financial Health</x:v>
      </x:c>
      <x:c r="E1" s="3" t="str">
        <x:v>Proyecto 04 · Cash Flow &amp; Financial Health</x:v>
      </x:c>
      <x:c r="F1" s="3" t="str">
        <x:v>Proyecto 04 · Cash Flow &amp; Financial Health</x:v>
      </x:c>
      <x:c r="G1" s="3" t="str">
        <x:v>Proyecto 04 · Cash Flow &amp; Financial Health</x:v>
      </x:c>
      <x:c r="H1" s="3" t="str">
        <x:v>Proyecto 04 · Cash Flow &amp; Financial Health</x:v>
      </x:c>
    </x:row>
    <x:row r="2" ht="30" customHeight="1">
      <x:c r="A2" s="7" t="str">
        <x:v>Dataset simulado y modelo auditable para reconstruir el flujo de caja desde balance, cuenta de resultados y movimientos auxiliares.</x:v>
      </x:c>
      <x:c r="B2" s="7" t="str">
        <x:v>Dataset simulado y modelo auditable para reconstruir el flujo de caja desde balance, cuenta de resultados y movimientos auxiliares.</x:v>
      </x:c>
      <x:c r="C2" s="7" t="str">
        <x:v>Dataset simulado y modelo auditable para reconstruir el flujo de caja desde balance, cuenta de resultados y movimientos auxiliares.</x:v>
      </x:c>
      <x:c r="D2" s="7" t="str">
        <x:v>Dataset simulado y modelo auditable para reconstruir el flujo de caja desde balance, cuenta de resultados y movimientos auxiliares.</x:v>
      </x:c>
      <x:c r="E2" s="7" t="str">
        <x:v>Dataset simulado y modelo auditable para reconstruir el flujo de caja desde balance, cuenta de resultados y movimientos auxiliares.</x:v>
      </x:c>
      <x:c r="F2" s="7" t="str">
        <x:v>Dataset simulado y modelo auditable para reconstruir el flujo de caja desde balance, cuenta de resultados y movimientos auxiliares.</x:v>
      </x:c>
      <x:c r="G2" s="7" t="str">
        <x:v>Dataset simulado y modelo auditable para reconstruir el flujo de caja desde balance, cuenta de resultados y movimientos auxiliares.</x:v>
      </x:c>
      <x:c r="H2" s="7" t="str">
        <x:v>Dataset simulado y modelo auditable para reconstruir el flujo de caja desde balance, cuenta de resultados y movimientos auxiliares.</x:v>
      </x:c>
    </x:row>
    <x:row r="4" ht="26" customHeight="1">
      <x:c r="A4" s="12" t="str">
        <x:v>Empresa simulada</x:v>
      </x:c>
      <x:c r="B4" s="11" t="str">
        <x:v>Nova Industrial Group</x:v>
      </x:c>
    </x:row>
    <x:row r="5">
      <x:c r="A5" s="15" t="str">
        <x:v>Actividad</x:v>
      </x:c>
      <x:c r="B5" s="16" t="str">
        <x:v>Compañía B2B industrial y de servicios</x:v>
      </x:c>
    </x:row>
    <x:row r="6">
      <x:c r="A6" s="15" t="str">
        <x:v>Periodo</x:v>
      </x:c>
      <x:c r="B6" s="16" t="str">
        <x:v>Enero 2024 – diciembre 2026 · 36 cierres mensuales</x:v>
      </x:c>
    </x:row>
    <x:row r="7">
      <x:c r="A7" s="15" t="str">
        <x:v>Moneda</x:v>
      </x:c>
      <x:c r="B7" s="16" t="str">
        <x:v>EUR</x:v>
      </x:c>
    </x:row>
    <x:row r="8">
      <x:c r="A8" s="15" t="str">
        <x:v>Escenario</x:v>
      </x:c>
      <x:c r="B8" s="16" t="str">
        <x:v>Actual · datos completamente simulados</x:v>
      </x:c>
    </x:row>
    <x:row r="9">
      <x:c r="A9" s="15" t="str">
        <x:v>Método de cash flow</x:v>
      </x:c>
      <x:c r="B9" s="16" t="str">
        <x:v>Método indirecto</x:v>
      </x:c>
    </x:row>
    <x:row r="10">
      <x:c r="A10" s="15" t="str">
        <x:v>Objetivo</x:v>
      </x:c>
      <x:c r="B10" s="16" t="str">
        <x:v>Evaluar conversión de beneficio en caja, liquidez, capital circulante y capacidad de pago</x:v>
      </x:c>
    </x:row>
    <x:row r="11">
      <x:c r="A11" s="15" t="str">
        <x:v>Nivel</x:v>
      </x:c>
      <x:c r="B11" s="16" t="str">
        <x:v>Consolidado de empresa</x:v>
      </x:c>
    </x:row>
    <x:row r="12">
      <x:c r="A12" s="15" t="str">
        <x:v>Uso previsto</x:v>
      </x:c>
      <x:c r="B12" s="16" t="str">
        <x:v>Proyecto de portfolio Data Analyst × Finance Analytics</x:v>
      </x:c>
    </x:row>
    <x:row r="13">
      <x:c r="A13" s="15" t="str">
        <x:v>Estado</x:v>
      </x:c>
      <x:c r="B13" s="16" t="str">
        <x:v>Base de datos lista para revisar antes de diseñar el caso y el HTML</x:v>
      </x:c>
    </x:row>
    <x:row r="15">
      <x:c r="A15" s="17" t="str">
        <x:v>Por qué existe Supplemental_Movements</x:v>
      </x:c>
      <x:c r="B15" s="17" t="str">
        <x:v>Por qué existe Supplemental_Movements</x:v>
      </x:c>
      <x:c r="C15" s="17" t="str">
        <x:v>Por qué existe Supplemental_Movements</x:v>
      </x:c>
      <x:c r="D15" s="17" t="str">
        <x:v>Por qué existe Supplemental_Movements</x:v>
      </x:c>
      <x:c r="E15" s="17" t="str">
        <x:v>Por qué existe Supplemental_Movements</x:v>
      </x:c>
      <x:c r="F15" s="17" t="str">
        <x:v>Por qué existe Supplemental_Movements</x:v>
      </x:c>
      <x:c r="G15" s="17" t="str">
        <x:v>Por qué existe Supplemental_Movements</x:v>
      </x:c>
      <x:c r="H15" s="17" t="str">
        <x:v>Por qué existe Supplemental_Movements</x:v>
      </x:c>
    </x:row>
    <x:row r="16">
      <x:c r="A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B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C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D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E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F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G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H16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</x:row>
    <x:row r="17">
      <x:c r="A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B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C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D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E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F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G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H17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</x:row>
    <x:row r="18">
      <x:c r="A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B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C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D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E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F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G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  <x:c r="H18" s="20" t="str">
        <x:v>El balance y la cuenta de resultados permiten reconstruir el flujo operativo, pero no identifican de forma inequívoca la naturaleza de todos los cobros y pagos de inversión y financiación. Por eso se añade una tabla auxiliar mínima con CAPEX, venta de activos, deuda, arrendamientos y dividendos. No es un ajuste artificial: reproduce la información que normalmente procede del ERP, tesorería o notas contables.</x:v>
      </x:c>
    </x:row>
    <x:row r="20">
      <x:c r="A20" s="17" t="str">
        <x:v>Preguntas que deberá responder el caso</x:v>
      </x:c>
      <x:c r="B20" s="17" t="str">
        <x:v>Preguntas que deberá responder el caso</x:v>
      </x:c>
      <x:c r="C20" s="17" t="str">
        <x:v>Preguntas que deberá responder el caso</x:v>
      </x:c>
      <x:c r="D20" s="17" t="str">
        <x:v>Preguntas que deberá responder el caso</x:v>
      </x:c>
      <x:c r="E20" s="17" t="str">
        <x:v>Preguntas que deberá responder el caso</x:v>
      </x:c>
      <x:c r="F20" s="17" t="str">
        <x:v>Preguntas que deberá responder el caso</x:v>
      </x:c>
      <x:c r="G20" s="17" t="str">
        <x:v>Preguntas que deberá responder el caso</x:v>
      </x:c>
      <x:c r="H20" s="17" t="str">
        <x:v>Preguntas que deberá responder el caso</x:v>
      </x:c>
    </x:row>
    <x:row r="21">
      <x:c r="A21" s="22" t="str">
        <x:v>01</x:v>
      </x:c>
      <x:c r="B21" s="21" t="str">
        <x:v>¿El beneficio se convierte en caja?</x:v>
      </x:c>
    </x:row>
    <x:row r="22">
      <x:c r="A22" s="22" t="str">
        <x:v>02</x:v>
      </x:c>
      <x:c r="B22" s="21" t="str">
        <x:v>¿Qué partidas absorben o liberan efectivo?</x:v>
      </x:c>
    </x:row>
    <x:row r="23">
      <x:c r="A23" s="22" t="str">
        <x:v>03</x:v>
      </x:c>
      <x:c r="B23" s="21" t="str">
        <x:v>¿La liquidez es suficiente para operar?</x:v>
      </x:c>
    </x:row>
    <x:row r="24">
      <x:c r="A24" s="22" t="str">
        <x:v>04</x:v>
      </x:c>
      <x:c r="B24" s="21" t="str">
        <x:v>¿Cómo evolucionan DSO, DIO, DPO y el ciclo de conversión de caja?</x:v>
      </x:c>
    </x:row>
    <x:row r="25">
      <x:c r="A25" s="22" t="str">
        <x:v>05</x:v>
      </x:c>
      <x:c r="B25" s="21" t="str">
        <x:v>¿La empresa puede atender su deuda y sus inversiones?</x:v>
      </x:c>
    </x:row>
    <x:row r="26">
      <x:c r="A26" s="22" t="str">
        <x:v>06</x:v>
      </x:c>
      <x:c r="B26" s="21" t="str">
        <x:v>¿Qué acciones de gestión mejorarían la generación de caja?</x:v>
      </x:c>
    </x:row>
  </x:sheetData>
  <x:mergeCells>
    <x:mergeCell ref="A1:H1"/>
    <x:mergeCell ref="A2:H2"/>
    <x:mergeCell ref="A15:H15"/>
    <x:mergeCell ref="A16:H18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4" hidden="0" customWidth="1"/>
    <x:col min="3" max="3" width="24" hidden="0" customWidth="1"/>
    <x:col min="4" max="4" width="40" hidden="0" customWidth="1"/>
    <x:col min="5" max="5" width="40" hidden="0" customWidth="1"/>
    <x:col min="6" max="6" width="15.109999656677246" hidden="0" customWidth="1"/>
  </x:cols>
  <x:sheetData>
    <x:row r="1" ht="32" customHeight="1">
      <x:c r="A1" s="3" t="str">
        <x:v>Supuestos de simulación</x:v>
      </x:c>
      <x:c r="B1" s="3" t="str">
        <x:v>Supuestos de simulación</x:v>
      </x:c>
      <x:c r="C1" s="3" t="str">
        <x:v>Supuestos de simulación</x:v>
      </x:c>
      <x:c r="D1" s="3" t="str">
        <x:v>Supuestos de simulación</x:v>
      </x:c>
      <x:c r="E1" s="3" t="str">
        <x:v>Supuestos de simulación</x:v>
      </x:c>
      <x:c r="F1" s="3" t="str">
        <x:v>Supuestos de simulación</x:v>
      </x:c>
    </x:row>
    <x:row r="2" ht="30" customHeight="1">
      <x:c r="A2" s="7" t="str">
        <x:v>Parámetros declarados para que las anomalías sean explicables, repetibles y coherentes con los estados financieros.</x:v>
      </x:c>
      <x:c r="B2" s="7" t="str">
        <x:v>Parámetros declarados para que las anomalías sean explicables, repetibles y coherentes con los estados financieros.</x:v>
      </x:c>
      <x:c r="C2" s="7" t="str">
        <x:v>Parámetros declarados para que las anomalías sean explicables, repetibles y coherentes con los estados financieros.</x:v>
      </x:c>
      <x:c r="D2" s="7" t="str">
        <x:v>Parámetros declarados para que las anomalías sean explicables, repetibles y coherentes con los estados financieros.</x:v>
      </x:c>
      <x:c r="E2" s="7" t="str">
        <x:v>Parámetros declarados para que las anomalías sean explicables, repetibles y coherentes con los estados financieros.</x:v>
      </x:c>
      <x:c r="F2" s="7" t="str">
        <x:v>Parámetros declarados para que las anomalías sean explicables, repetibles y coherentes con los estados financieros.</x:v>
      </x:c>
    </x:row>
    <x:row r="4" ht="26" customHeight="1">
      <x:c r="A4" s="11" t="str">
        <x:v>Bloque</x:v>
      </x:c>
      <x:c r="B4" s="11" t="str">
        <x:v>Supuesto</x:v>
      </x:c>
      <x:c r="C4" s="11" t="str">
        <x:v>Valor / periodo</x:v>
      </x:c>
      <x:c r="D4" s="11" t="str">
        <x:v>Efecto esperado</x:v>
      </x:c>
      <x:c r="E4" s="11" t="str">
        <x:v>Motivo analítico</x:v>
      </x:c>
      <x:c r="F4" s="11" t="str">
        <x:v>Tipo</x:v>
      </x:c>
    </x:row>
    <x:row r="5">
      <x:c r="A5" s="21" t="str">
        <x:v>Base</x:v>
      </x:c>
      <x:c r="B5" s="21" t="str">
        <x:v>Ingresos mensuales base</x:v>
      </x:c>
      <x:c r="C5" s="21" t="str">
        <x:v>2,9 M€</x:v>
      </x:c>
      <x:c r="D5" s="21" t="str">
        <x:v>Crecimiento y estacionalidad</x:v>
      </x:c>
      <x:c r="E5" s="21" t="str">
        <x:v>Permite observar conversión de ventas en caja</x:v>
      </x:c>
      <x:c r="F5" s="21" t="str">
        <x:v>Driver</x:v>
      </x:c>
    </x:row>
    <x:row r="6">
      <x:c r="A6" s="21" t="str">
        <x:v>Base</x:v>
      </x:c>
      <x:c r="B6" s="21" t="str">
        <x:v>Periodo</x:v>
      </x:c>
      <x:c r="C6" s="21" t="str">
        <x:v>2024-01 a 2026-12</x:v>
      </x:c>
      <x:c r="D6" s="21" t="str">
        <x:v>36 cierres</x:v>
      </x:c>
      <x:c r="E6" s="21" t="str">
        <x:v>Suficiente para tendencias y LTM</x:v>
      </x:c>
      <x:c r="F6" s="21" t="str">
        <x:v>Dimensión</x:v>
      </x:c>
    </x:row>
    <x:row r="7">
      <x:c r="A7" s="21" t="str">
        <x:v>Capital circulante</x:v>
      </x:c>
      <x:c r="B7" s="21" t="str">
        <x:v>Tensión de cobro e inventario</x:v>
      </x:c>
      <x:c r="C7" s="21" t="str">
        <x:v>2025-04 a 2025-08</x:v>
      </x:c>
      <x:c r="D7" s="21" t="str">
        <x:v>Aumentan DSO y DIO; baja DPO</x:v>
      </x:c>
      <x:c r="E7" s="21" t="str">
        <x:v>Genera presión de caja aunque exista beneficio</x:v>
      </x:c>
      <x:c r="F7" s="21" t="str">
        <x:v>Anomalía explicable</x:v>
      </x:c>
    </x:row>
    <x:row r="8">
      <x:c r="A8" s="21" t="str">
        <x:v>Financiación</x:v>
      </x:c>
      <x:c r="B8" s="21" t="str">
        <x:v>Disposición extraordinaria de deuda</x:v>
      </x:c>
      <x:c r="C8" s="21" t="str">
        <x:v>2025-05 · 1,1 M€</x:v>
      </x:c>
      <x:c r="D8" s="21" t="str">
        <x:v>Refuerza liquidez</x:v>
      </x:c>
      <x:c r="E8" s="21" t="str">
        <x:v>Muestra dependencia temporal de financiación</x:v>
      </x:c>
      <x:c r="F8" s="21" t="str">
        <x:v>Evento</x:v>
      </x:c>
    </x:row>
    <x:row r="9">
      <x:c r="A9" s="21" t="str">
        <x:v>Operaciones</x:v>
      </x:c>
      <x:c r="B9" s="21" t="str">
        <x:v>Mejora de margen y circulante</x:v>
      </x:c>
      <x:c r="C9" s="21" t="str">
        <x:v>Desde 2026-03</x:v>
      </x:c>
      <x:c r="D9" s="21" t="str">
        <x:v>Recupera CFO y FCF</x:v>
      </x:c>
      <x:c r="E9" s="21" t="str">
        <x:v>Permite evaluar acciones de gestión</x:v>
      </x:c>
      <x:c r="F9" s="21" t="str">
        <x:v>Cambio operativo</x:v>
      </x:c>
    </x:row>
    <x:row r="10">
      <x:c r="A10" s="21" t="str">
        <x:v>Inversión</x:v>
      </x:c>
      <x:c r="B10" s="21" t="str">
        <x:v>CAPEX extraordinario</x:v>
      </x:c>
      <x:c r="C10" s="21" t="str">
        <x:v>2026-09 · +520 k€</x:v>
      </x:c>
      <x:c r="D10" s="21" t="str">
        <x:v>Reduce FCF</x:v>
      </x:c>
      <x:c r="E10" s="21" t="str">
        <x:v>Distingue crecimiento e impacto de inversión</x:v>
      </x:c>
      <x:c r="F10" s="21" t="str">
        <x:v>Evento</x:v>
      </x:c>
    </x:row>
    <x:row r="11">
      <x:c r="A11" s="21" t="str">
        <x:v>Inversión</x:v>
      </x:c>
      <x:c r="B11" s="21" t="str">
        <x:v>Venta de activo</x:v>
      </x:c>
      <x:c r="C11" s="21" t="str">
        <x:v>2025-09 · cobro 150 k€</x:v>
      </x:c>
      <x:c r="D11" s="21" t="str">
        <x:v>Ganancia contable 30 k€</x:v>
      </x:c>
      <x:c r="E11" s="21" t="str">
        <x:v>Concilia resultado, activo y caja</x:v>
      </x:c>
      <x:c r="F11" s="21" t="str">
        <x:v>Evento</x:v>
      </x:c>
    </x:row>
    <x:row r="12">
      <x:c r="A12" s="21" t="str">
        <x:v>Contabilidad</x:v>
      </x:c>
      <x:c r="B12" s="21" t="str">
        <x:v>Deterioro de inmovilizado</x:v>
      </x:c>
      <x:c r="C12" s="21" t="str">
        <x:v>2025-06 · 80 k€</x:v>
      </x:c>
      <x:c r="D12" s="21" t="str">
        <x:v>Reduce EBIT sin salida de caja</x:v>
      </x:c>
      <x:c r="E12" s="21" t="str">
        <x:v>Explica diferencia entre beneficio y CFO</x:v>
      </x:c>
      <x:c r="F12" s="21" t="str">
        <x:v>No monetario</x:v>
      </x:c>
    </x:row>
    <x:row r="13">
      <x:c r="A13" s="21" t="str">
        <x:v>Distribución</x:v>
      </x:c>
      <x:c r="B13" s="21" t="str">
        <x:v>Dividendos</x:v>
      </x:c>
      <x:c r="C13" s="21" t="str">
        <x:v>Diciembre de cada año</x:v>
      </x:c>
      <x:c r="D13" s="21" t="str">
        <x:v>Salida de financiación</x:v>
      </x:c>
      <x:c r="E13" s="21" t="str">
        <x:v>Analiza asignación de capital</x:v>
      </x:c>
      <x:c r="F13" s="21" t="str">
        <x:v>Evento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9.329999923706055" hidden="0" customWidth="1"/>
    <x:col min="3" max="3" width="4.110000133514404" hidden="0" customWidth="1"/>
    <x:col min="4" max="4" width="6.329999923706055" hidden="0" customWidth="1"/>
    <x:col min="5" max="5" width="12.4399995803833" hidden="0" customWidth="1"/>
    <x:col min="6" max="6" width="13.779999732971191" hidden="0" customWidth="1"/>
    <x:col min="7" max="7" width="12.5600004196167" hidden="0" customWidth="1"/>
  </x:cols>
  <x:sheetData>
    <x:row r="1" ht="26" customHeight="1">
      <x:c r="A1" s="11" t="str">
        <x:v>Period_Key</x:v>
      </x:c>
      <x:c r="B1" s="11" t="str">
        <x:v>Month_End</x:v>
      </x:c>
      <x:c r="C1" s="11" t="str">
        <x:v>Year</x:v>
      </x:c>
      <x:c r="D1" s="11" t="str">
        <x:v>Quarter</x:v>
      </x:c>
      <x:c r="E1" s="11" t="str">
        <x:v>Month_Number</x:v>
      </x:c>
      <x:c r="F1" s="11" t="str">
        <x:v>Month_Name_ES</x:v>
      </x:c>
      <x:c r="G1" s="11" t="str">
        <x:v>Days_In_Month</x:v>
      </x:c>
    </x:row>
    <x:row r="2">
      <x:c r="A2" s="18" t="str">
        <x:v>2024-01</x:v>
      </x:c>
      <x:c r="B2" s="18" t="str">
        <x:v>2024-01-31</x:v>
      </x:c>
      <x:c r="C2" s="18" t="n">
        <x:v>2024</x:v>
      </x:c>
      <x:c r="D2" s="18" t="str">
        <x:v>Q1</x:v>
      </x:c>
      <x:c r="E2" s="18" t="n">
        <x:v>1</x:v>
      </x:c>
      <x:c r="F2" s="18" t="str">
        <x:v>Enero</x:v>
      </x:c>
      <x:c r="G2" s="18" t="n">
        <x:v>31</x:v>
      </x:c>
    </x:row>
    <x:row r="3">
      <x:c r="A3" s="18" t="str">
        <x:v>2024-02</x:v>
      </x:c>
      <x:c r="B3" s="18" t="str">
        <x:v>2024-02-29</x:v>
      </x:c>
      <x:c r="C3" s="18" t="n">
        <x:v>2024</x:v>
      </x:c>
      <x:c r="D3" s="18" t="str">
        <x:v>Q1</x:v>
      </x:c>
      <x:c r="E3" s="18" t="n">
        <x:v>2</x:v>
      </x:c>
      <x:c r="F3" s="18" t="str">
        <x:v>Febrero</x:v>
      </x:c>
      <x:c r="G3" s="18" t="n">
        <x:v>29</x:v>
      </x:c>
    </x:row>
    <x:row r="4">
      <x:c r="A4" s="18" t="str">
        <x:v>2024-03</x:v>
      </x:c>
      <x:c r="B4" s="18" t="str">
        <x:v>2024-03-31</x:v>
      </x:c>
      <x:c r="C4" s="18" t="n">
        <x:v>2024</x:v>
      </x:c>
      <x:c r="D4" s="18" t="str">
        <x:v>Q1</x:v>
      </x:c>
      <x:c r="E4" s="18" t="n">
        <x:v>3</x:v>
      </x:c>
      <x:c r="F4" s="18" t="str">
        <x:v>Marzo</x:v>
      </x:c>
      <x:c r="G4" s="18" t="n">
        <x:v>31</x:v>
      </x:c>
    </x:row>
    <x:row r="5">
      <x:c r="A5" s="18" t="str">
        <x:v>2024-04</x:v>
      </x:c>
      <x:c r="B5" s="18" t="str">
        <x:v>2024-04-30</x:v>
      </x:c>
      <x:c r="C5" s="18" t="n">
        <x:v>2024</x:v>
      </x:c>
      <x:c r="D5" s="18" t="str">
        <x:v>Q2</x:v>
      </x:c>
      <x:c r="E5" s="18" t="n">
        <x:v>4</x:v>
      </x:c>
      <x:c r="F5" s="18" t="str">
        <x:v>Abril</x:v>
      </x:c>
      <x:c r="G5" s="18" t="n">
        <x:v>30</x:v>
      </x:c>
    </x:row>
    <x:row r="6">
      <x:c r="A6" s="18" t="str">
        <x:v>2024-05</x:v>
      </x:c>
      <x:c r="B6" s="18" t="str">
        <x:v>2024-05-31</x:v>
      </x:c>
      <x:c r="C6" s="18" t="n">
        <x:v>2024</x:v>
      </x:c>
      <x:c r="D6" s="18" t="str">
        <x:v>Q2</x:v>
      </x:c>
      <x:c r="E6" s="18" t="n">
        <x:v>5</x:v>
      </x:c>
      <x:c r="F6" s="18" t="str">
        <x:v>Mayo</x:v>
      </x:c>
      <x:c r="G6" s="18" t="n">
        <x:v>31</x:v>
      </x:c>
    </x:row>
    <x:row r="7">
      <x:c r="A7" s="18" t="str">
        <x:v>2024-06</x:v>
      </x:c>
      <x:c r="B7" s="18" t="str">
        <x:v>2024-06-30</x:v>
      </x:c>
      <x:c r="C7" s="18" t="n">
        <x:v>2024</x:v>
      </x:c>
      <x:c r="D7" s="18" t="str">
        <x:v>Q2</x:v>
      </x:c>
      <x:c r="E7" s="18" t="n">
        <x:v>6</x:v>
      </x:c>
      <x:c r="F7" s="18" t="str">
        <x:v>Junio</x:v>
      </x:c>
      <x:c r="G7" s="18" t="n">
        <x:v>30</x:v>
      </x:c>
    </x:row>
    <x:row r="8">
      <x:c r="A8" s="18" t="str">
        <x:v>2024-07</x:v>
      </x:c>
      <x:c r="B8" s="18" t="str">
        <x:v>2024-07-31</x:v>
      </x:c>
      <x:c r="C8" s="18" t="n">
        <x:v>2024</x:v>
      </x:c>
      <x:c r="D8" s="18" t="str">
        <x:v>Q3</x:v>
      </x:c>
      <x:c r="E8" s="18" t="n">
        <x:v>7</x:v>
      </x:c>
      <x:c r="F8" s="18" t="str">
        <x:v>Julio</x:v>
      </x:c>
      <x:c r="G8" s="18" t="n">
        <x:v>31</x:v>
      </x:c>
    </x:row>
    <x:row r="9">
      <x:c r="A9" s="18" t="str">
        <x:v>2024-08</x:v>
      </x:c>
      <x:c r="B9" s="18" t="str">
        <x:v>2024-08-31</x:v>
      </x:c>
      <x:c r="C9" s="18" t="n">
        <x:v>2024</x:v>
      </x:c>
      <x:c r="D9" s="18" t="str">
        <x:v>Q3</x:v>
      </x:c>
      <x:c r="E9" s="18" t="n">
        <x:v>8</x:v>
      </x:c>
      <x:c r="F9" s="18" t="str">
        <x:v>Agosto</x:v>
      </x:c>
      <x:c r="G9" s="18" t="n">
        <x:v>31</x:v>
      </x:c>
    </x:row>
    <x:row r="10">
      <x:c r="A10" s="18" t="str">
        <x:v>2024-09</x:v>
      </x:c>
      <x:c r="B10" s="18" t="str">
        <x:v>2024-09-30</x:v>
      </x:c>
      <x:c r="C10" s="18" t="n">
        <x:v>2024</x:v>
      </x:c>
      <x:c r="D10" s="18" t="str">
        <x:v>Q3</x:v>
      </x:c>
      <x:c r="E10" s="18" t="n">
        <x:v>9</x:v>
      </x:c>
      <x:c r="F10" s="18" t="str">
        <x:v>Septiembre</x:v>
      </x:c>
      <x:c r="G10" s="18" t="n">
        <x:v>30</x:v>
      </x:c>
    </x:row>
    <x:row r="11">
      <x:c r="A11" s="18" t="str">
        <x:v>2024-10</x:v>
      </x:c>
      <x:c r="B11" s="18" t="str">
        <x:v>2024-10-31</x:v>
      </x:c>
      <x:c r="C11" s="18" t="n">
        <x:v>2024</x:v>
      </x:c>
      <x:c r="D11" s="18" t="str">
        <x:v>Q4</x:v>
      </x:c>
      <x:c r="E11" s="18" t="n">
        <x:v>10</x:v>
      </x:c>
      <x:c r="F11" s="18" t="str">
        <x:v>Octubre</x:v>
      </x:c>
      <x:c r="G11" s="18" t="n">
        <x:v>31</x:v>
      </x:c>
    </x:row>
    <x:row r="12">
      <x:c r="A12" s="18" t="str">
        <x:v>2024-11</x:v>
      </x:c>
      <x:c r="B12" s="18" t="str">
        <x:v>2024-11-30</x:v>
      </x:c>
      <x:c r="C12" s="18" t="n">
        <x:v>2024</x:v>
      </x:c>
      <x:c r="D12" s="18" t="str">
        <x:v>Q4</x:v>
      </x:c>
      <x:c r="E12" s="18" t="n">
        <x:v>11</x:v>
      </x:c>
      <x:c r="F12" s="18" t="str">
        <x:v>Noviembre</x:v>
      </x:c>
      <x:c r="G12" s="18" t="n">
        <x:v>30</x:v>
      </x:c>
    </x:row>
    <x:row r="13">
      <x:c r="A13" s="18" t="str">
        <x:v>2024-12</x:v>
      </x:c>
      <x:c r="B13" s="18" t="str">
        <x:v>2024-12-31</x:v>
      </x:c>
      <x:c r="C13" s="18" t="n">
        <x:v>2024</x:v>
      </x:c>
      <x:c r="D13" s="18" t="str">
        <x:v>Q4</x:v>
      </x:c>
      <x:c r="E13" s="18" t="n">
        <x:v>12</x:v>
      </x:c>
      <x:c r="F13" s="18" t="str">
        <x:v>Diciembre</x:v>
      </x:c>
      <x:c r="G13" s="18" t="n">
        <x:v>31</x:v>
      </x:c>
    </x:row>
    <x:row r="14">
      <x:c r="A14" s="18" t="str">
        <x:v>2025-01</x:v>
      </x:c>
      <x:c r="B14" s="18" t="str">
        <x:v>2025-01-31</x:v>
      </x:c>
      <x:c r="C14" s="18" t="n">
        <x:v>2025</x:v>
      </x:c>
      <x:c r="D14" s="18" t="str">
        <x:v>Q1</x:v>
      </x:c>
      <x:c r="E14" s="18" t="n">
        <x:v>1</x:v>
      </x:c>
      <x:c r="F14" s="18" t="str">
        <x:v>Enero</x:v>
      </x:c>
      <x:c r="G14" s="18" t="n">
        <x:v>31</x:v>
      </x:c>
    </x:row>
    <x:row r="15">
      <x:c r="A15" s="18" t="str">
        <x:v>2025-02</x:v>
      </x:c>
      <x:c r="B15" s="18" t="str">
        <x:v>2025-02-28</x:v>
      </x:c>
      <x:c r="C15" s="18" t="n">
        <x:v>2025</x:v>
      </x:c>
      <x:c r="D15" s="18" t="str">
        <x:v>Q1</x:v>
      </x:c>
      <x:c r="E15" s="18" t="n">
        <x:v>2</x:v>
      </x:c>
      <x:c r="F15" s="18" t="str">
        <x:v>Febrero</x:v>
      </x:c>
      <x:c r="G15" s="18" t="n">
        <x:v>28</x:v>
      </x:c>
    </x:row>
    <x:row r="16">
      <x:c r="A16" s="18" t="str">
        <x:v>2025-03</x:v>
      </x:c>
      <x:c r="B16" s="18" t="str">
        <x:v>2025-03-31</x:v>
      </x:c>
      <x:c r="C16" s="18" t="n">
        <x:v>2025</x:v>
      </x:c>
      <x:c r="D16" s="18" t="str">
        <x:v>Q1</x:v>
      </x:c>
      <x:c r="E16" s="18" t="n">
        <x:v>3</x:v>
      </x:c>
      <x:c r="F16" s="18" t="str">
        <x:v>Marzo</x:v>
      </x:c>
      <x:c r="G16" s="18" t="n">
        <x:v>31</x:v>
      </x:c>
    </x:row>
    <x:row r="17">
      <x:c r="A17" s="18" t="str">
        <x:v>2025-04</x:v>
      </x:c>
      <x:c r="B17" s="18" t="str">
        <x:v>2025-04-30</x:v>
      </x:c>
      <x:c r="C17" s="18" t="n">
        <x:v>2025</x:v>
      </x:c>
      <x:c r="D17" s="18" t="str">
        <x:v>Q2</x:v>
      </x:c>
      <x:c r="E17" s="18" t="n">
        <x:v>4</x:v>
      </x:c>
      <x:c r="F17" s="18" t="str">
        <x:v>Abril</x:v>
      </x:c>
      <x:c r="G17" s="18" t="n">
        <x:v>30</x:v>
      </x:c>
    </x:row>
    <x:row r="18">
      <x:c r="A18" s="18" t="str">
        <x:v>2025-05</x:v>
      </x:c>
      <x:c r="B18" s="18" t="str">
        <x:v>2025-05-31</x:v>
      </x:c>
      <x:c r="C18" s="18" t="n">
        <x:v>2025</x:v>
      </x:c>
      <x:c r="D18" s="18" t="str">
        <x:v>Q2</x:v>
      </x:c>
      <x:c r="E18" s="18" t="n">
        <x:v>5</x:v>
      </x:c>
      <x:c r="F18" s="18" t="str">
        <x:v>Mayo</x:v>
      </x:c>
      <x:c r="G18" s="18" t="n">
        <x:v>31</x:v>
      </x:c>
    </x:row>
    <x:row r="19">
      <x:c r="A19" s="18" t="str">
        <x:v>2025-06</x:v>
      </x:c>
      <x:c r="B19" s="18" t="str">
        <x:v>2025-06-30</x:v>
      </x:c>
      <x:c r="C19" s="18" t="n">
        <x:v>2025</x:v>
      </x:c>
      <x:c r="D19" s="18" t="str">
        <x:v>Q2</x:v>
      </x:c>
      <x:c r="E19" s="18" t="n">
        <x:v>6</x:v>
      </x:c>
      <x:c r="F19" s="18" t="str">
        <x:v>Junio</x:v>
      </x:c>
      <x:c r="G19" s="18" t="n">
        <x:v>30</x:v>
      </x:c>
    </x:row>
    <x:row r="20">
      <x:c r="A20" s="18" t="str">
        <x:v>2025-07</x:v>
      </x:c>
      <x:c r="B20" s="18" t="str">
        <x:v>2025-07-31</x:v>
      </x:c>
      <x:c r="C20" s="18" t="n">
        <x:v>2025</x:v>
      </x:c>
      <x:c r="D20" s="18" t="str">
        <x:v>Q3</x:v>
      </x:c>
      <x:c r="E20" s="18" t="n">
        <x:v>7</x:v>
      </x:c>
      <x:c r="F20" s="18" t="str">
        <x:v>Julio</x:v>
      </x:c>
      <x:c r="G20" s="18" t="n">
        <x:v>31</x:v>
      </x:c>
    </x:row>
    <x:row r="21">
      <x:c r="A21" s="18" t="str">
        <x:v>2025-08</x:v>
      </x:c>
      <x:c r="B21" s="18" t="str">
        <x:v>2025-08-31</x:v>
      </x:c>
      <x:c r="C21" s="18" t="n">
        <x:v>2025</x:v>
      </x:c>
      <x:c r="D21" s="18" t="str">
        <x:v>Q3</x:v>
      </x:c>
      <x:c r="E21" s="18" t="n">
        <x:v>8</x:v>
      </x:c>
      <x:c r="F21" s="18" t="str">
        <x:v>Agosto</x:v>
      </x:c>
      <x:c r="G21" s="18" t="n">
        <x:v>31</x:v>
      </x:c>
    </x:row>
    <x:row r="22">
      <x:c r="A22" s="18" t="str">
        <x:v>2025-09</x:v>
      </x:c>
      <x:c r="B22" s="18" t="str">
        <x:v>2025-09-30</x:v>
      </x:c>
      <x:c r="C22" s="18" t="n">
        <x:v>2025</x:v>
      </x:c>
      <x:c r="D22" s="18" t="str">
        <x:v>Q3</x:v>
      </x:c>
      <x:c r="E22" s="18" t="n">
        <x:v>9</x:v>
      </x:c>
      <x:c r="F22" s="18" t="str">
        <x:v>Septiembre</x:v>
      </x:c>
      <x:c r="G22" s="18" t="n">
        <x:v>30</x:v>
      </x:c>
    </x:row>
    <x:row r="23">
      <x:c r="A23" s="18" t="str">
        <x:v>2025-10</x:v>
      </x:c>
      <x:c r="B23" s="18" t="str">
        <x:v>2025-10-31</x:v>
      </x:c>
      <x:c r="C23" s="18" t="n">
        <x:v>2025</x:v>
      </x:c>
      <x:c r="D23" s="18" t="str">
        <x:v>Q4</x:v>
      </x:c>
      <x:c r="E23" s="18" t="n">
        <x:v>10</x:v>
      </x:c>
      <x:c r="F23" s="18" t="str">
        <x:v>Octubre</x:v>
      </x:c>
      <x:c r="G23" s="18" t="n">
        <x:v>31</x:v>
      </x:c>
    </x:row>
    <x:row r="24">
      <x:c r="A24" s="18" t="str">
        <x:v>2025-11</x:v>
      </x:c>
      <x:c r="B24" s="18" t="str">
        <x:v>2025-11-30</x:v>
      </x:c>
      <x:c r="C24" s="18" t="n">
        <x:v>2025</x:v>
      </x:c>
      <x:c r="D24" s="18" t="str">
        <x:v>Q4</x:v>
      </x:c>
      <x:c r="E24" s="18" t="n">
        <x:v>11</x:v>
      </x:c>
      <x:c r="F24" s="18" t="str">
        <x:v>Noviembre</x:v>
      </x:c>
      <x:c r="G24" s="18" t="n">
        <x:v>30</x:v>
      </x:c>
    </x:row>
    <x:row r="25">
      <x:c r="A25" s="18" t="str">
        <x:v>2025-12</x:v>
      </x:c>
      <x:c r="B25" s="18" t="str">
        <x:v>2025-12-31</x:v>
      </x:c>
      <x:c r="C25" s="18" t="n">
        <x:v>2025</x:v>
      </x:c>
      <x:c r="D25" s="18" t="str">
        <x:v>Q4</x:v>
      </x:c>
      <x:c r="E25" s="18" t="n">
        <x:v>12</x:v>
      </x:c>
      <x:c r="F25" s="18" t="str">
        <x:v>Diciembre</x:v>
      </x:c>
      <x:c r="G25" s="18" t="n">
        <x:v>31</x:v>
      </x:c>
    </x:row>
    <x:row r="26">
      <x:c r="A26" s="18" t="str">
        <x:v>2026-01</x:v>
      </x:c>
      <x:c r="B26" s="18" t="str">
        <x:v>2026-01-31</x:v>
      </x:c>
      <x:c r="C26" s="18" t="n">
        <x:v>2026</x:v>
      </x:c>
      <x:c r="D26" s="18" t="str">
        <x:v>Q1</x:v>
      </x:c>
      <x:c r="E26" s="18" t="n">
        <x:v>1</x:v>
      </x:c>
      <x:c r="F26" s="18" t="str">
        <x:v>Enero</x:v>
      </x:c>
      <x:c r="G26" s="18" t="n">
        <x:v>31</x:v>
      </x:c>
    </x:row>
    <x:row r="27">
      <x:c r="A27" s="18" t="str">
        <x:v>2026-02</x:v>
      </x:c>
      <x:c r="B27" s="18" t="str">
        <x:v>2026-02-28</x:v>
      </x:c>
      <x:c r="C27" s="18" t="n">
        <x:v>2026</x:v>
      </x:c>
      <x:c r="D27" s="18" t="str">
        <x:v>Q1</x:v>
      </x:c>
      <x:c r="E27" s="18" t="n">
        <x:v>2</x:v>
      </x:c>
      <x:c r="F27" s="18" t="str">
        <x:v>Febrero</x:v>
      </x:c>
      <x:c r="G27" s="18" t="n">
        <x:v>28</x:v>
      </x:c>
    </x:row>
    <x:row r="28">
      <x:c r="A28" s="18" t="str">
        <x:v>2026-03</x:v>
      </x:c>
      <x:c r="B28" s="18" t="str">
        <x:v>2026-03-31</x:v>
      </x:c>
      <x:c r="C28" s="18" t="n">
        <x:v>2026</x:v>
      </x:c>
      <x:c r="D28" s="18" t="str">
        <x:v>Q1</x:v>
      </x:c>
      <x:c r="E28" s="18" t="n">
        <x:v>3</x:v>
      </x:c>
      <x:c r="F28" s="18" t="str">
        <x:v>Marzo</x:v>
      </x:c>
      <x:c r="G28" s="18" t="n">
        <x:v>31</x:v>
      </x:c>
    </x:row>
    <x:row r="29">
      <x:c r="A29" s="18" t="str">
        <x:v>2026-04</x:v>
      </x:c>
      <x:c r="B29" s="18" t="str">
        <x:v>2026-04-30</x:v>
      </x:c>
      <x:c r="C29" s="18" t="n">
        <x:v>2026</x:v>
      </x:c>
      <x:c r="D29" s="18" t="str">
        <x:v>Q2</x:v>
      </x:c>
      <x:c r="E29" s="18" t="n">
        <x:v>4</x:v>
      </x:c>
      <x:c r="F29" s="18" t="str">
        <x:v>Abril</x:v>
      </x:c>
      <x:c r="G29" s="18" t="n">
        <x:v>30</x:v>
      </x:c>
    </x:row>
    <x:row r="30">
      <x:c r="A30" s="18" t="str">
        <x:v>2026-05</x:v>
      </x:c>
      <x:c r="B30" s="18" t="str">
        <x:v>2026-05-31</x:v>
      </x:c>
      <x:c r="C30" s="18" t="n">
        <x:v>2026</x:v>
      </x:c>
      <x:c r="D30" s="18" t="str">
        <x:v>Q2</x:v>
      </x:c>
      <x:c r="E30" s="18" t="n">
        <x:v>5</x:v>
      </x:c>
      <x:c r="F30" s="18" t="str">
        <x:v>Mayo</x:v>
      </x:c>
      <x:c r="G30" s="18" t="n">
        <x:v>31</x:v>
      </x:c>
    </x:row>
    <x:row r="31">
      <x:c r="A31" s="18" t="str">
        <x:v>2026-06</x:v>
      </x:c>
      <x:c r="B31" s="18" t="str">
        <x:v>2026-06-30</x:v>
      </x:c>
      <x:c r="C31" s="18" t="n">
        <x:v>2026</x:v>
      </x:c>
      <x:c r="D31" s="18" t="str">
        <x:v>Q2</x:v>
      </x:c>
      <x:c r="E31" s="18" t="n">
        <x:v>6</x:v>
      </x:c>
      <x:c r="F31" s="18" t="str">
        <x:v>Junio</x:v>
      </x:c>
      <x:c r="G31" s="18" t="n">
        <x:v>30</x:v>
      </x:c>
    </x:row>
    <x:row r="32">
      <x:c r="A32" s="18" t="str">
        <x:v>2026-07</x:v>
      </x:c>
      <x:c r="B32" s="18" t="str">
        <x:v>2026-07-31</x:v>
      </x:c>
      <x:c r="C32" s="18" t="n">
        <x:v>2026</x:v>
      </x:c>
      <x:c r="D32" s="18" t="str">
        <x:v>Q3</x:v>
      </x:c>
      <x:c r="E32" s="18" t="n">
        <x:v>7</x:v>
      </x:c>
      <x:c r="F32" s="18" t="str">
        <x:v>Julio</x:v>
      </x:c>
      <x:c r="G32" s="18" t="n">
        <x:v>31</x:v>
      </x:c>
    </x:row>
    <x:row r="33">
      <x:c r="A33" s="18" t="str">
        <x:v>2026-08</x:v>
      </x:c>
      <x:c r="B33" s="18" t="str">
        <x:v>2026-08-31</x:v>
      </x:c>
      <x:c r="C33" s="18" t="n">
        <x:v>2026</x:v>
      </x:c>
      <x:c r="D33" s="18" t="str">
        <x:v>Q3</x:v>
      </x:c>
      <x:c r="E33" s="18" t="n">
        <x:v>8</x:v>
      </x:c>
      <x:c r="F33" s="18" t="str">
        <x:v>Agosto</x:v>
      </x:c>
      <x:c r="G33" s="18" t="n">
        <x:v>31</x:v>
      </x:c>
    </x:row>
    <x:row r="34">
      <x:c r="A34" s="18" t="str">
        <x:v>2026-09</x:v>
      </x:c>
      <x:c r="B34" s="18" t="str">
        <x:v>2026-09-30</x:v>
      </x:c>
      <x:c r="C34" s="18" t="n">
        <x:v>2026</x:v>
      </x:c>
      <x:c r="D34" s="18" t="str">
        <x:v>Q3</x:v>
      </x:c>
      <x:c r="E34" s="18" t="n">
        <x:v>9</x:v>
      </x:c>
      <x:c r="F34" s="18" t="str">
        <x:v>Septiembre</x:v>
      </x:c>
      <x:c r="G34" s="18" t="n">
        <x:v>30</x:v>
      </x:c>
    </x:row>
    <x:row r="35">
      <x:c r="A35" s="18" t="str">
        <x:v>2026-10</x:v>
      </x:c>
      <x:c r="B35" s="18" t="str">
        <x:v>2026-10-31</x:v>
      </x:c>
      <x:c r="C35" s="18" t="n">
        <x:v>2026</x:v>
      </x:c>
      <x:c r="D35" s="18" t="str">
        <x:v>Q4</x:v>
      </x:c>
      <x:c r="E35" s="18" t="n">
        <x:v>10</x:v>
      </x:c>
      <x:c r="F35" s="18" t="str">
        <x:v>Octubre</x:v>
      </x:c>
      <x:c r="G35" s="18" t="n">
        <x:v>31</x:v>
      </x:c>
    </x:row>
    <x:row r="36">
      <x:c r="A36" s="18" t="str">
        <x:v>2026-11</x:v>
      </x:c>
      <x:c r="B36" s="18" t="str">
        <x:v>2026-11-30</x:v>
      </x:c>
      <x:c r="C36" s="18" t="n">
        <x:v>2026</x:v>
      </x:c>
      <x:c r="D36" s="18" t="str">
        <x:v>Q4</x:v>
      </x:c>
      <x:c r="E36" s="18" t="n">
        <x:v>11</x:v>
      </x:c>
      <x:c r="F36" s="18" t="str">
        <x:v>Noviembre</x:v>
      </x:c>
      <x:c r="G36" s="18" t="n">
        <x:v>30</x:v>
      </x:c>
    </x:row>
    <x:row r="37">
      <x:c r="A37" s="18" t="str">
        <x:v>2026-12</x:v>
      </x:c>
      <x:c r="B37" s="18" t="str">
        <x:v>2026-12-31</x:v>
      </x:c>
      <x:c r="C37" s="18" t="n">
        <x:v>2026</x:v>
      </x:c>
      <x:c r="D37" s="18" t="str">
        <x:v>Q4</x:v>
      </x:c>
      <x:c r="E37" s="18" t="n">
        <x:v>12</x:v>
      </x:c>
      <x:c r="F37" s="18" t="str">
        <x:v>Diciembre</x:v>
      </x:c>
      <x:c r="G37" s="18" t="n">
        <x:v>31</x:v>
      </x:c>
    </x:row>
  </x:sheetData>
  <x:pageMargins left="0.7" right="0.7" top="0.75" bottom="0.75" header="0.3" footer="0.3"/>
  <x:tableParts count="1">
    <x:tablePart xmlns:r="http://schemas.openxmlformats.org/officeDocument/2006/relationships" r:id="R8d138b853bb648f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.329999923706055" hidden="0" customWidth="1"/>
    <x:col min="2" max="2" width="12" hidden="0" customWidth="1"/>
    <x:col min="3" max="3" width="32" hidden="0" customWidth="1"/>
    <x:col min="4" max="4" width="32" hidden="0" customWidth="1"/>
    <x:col min="5" max="5" width="32" hidden="0" customWidth="1"/>
    <x:col min="6" max="6" width="27.110000610351562" hidden="0" customWidth="1"/>
  </x:cols>
  <x:sheetData>
    <x:row r="1" ht="26" customHeight="1">
      <x:c r="A1" s="11" t="str">
        <x:v>Statement</x:v>
      </x:c>
      <x:c r="B1" s="11" t="str">
        <x:v>Account_Code</x:v>
      </x:c>
      <x:c r="C1" s="11" t="str">
        <x:v>Account_Name</x:v>
      </x:c>
      <x:c r="D1" s="11" t="str">
        <x:v>Section</x:v>
      </x:c>
      <x:c r="E1" s="11" t="str">
        <x:v>Cash_Flow_Mapping</x:v>
      </x:c>
      <x:c r="F1" s="11" t="str">
        <x:v>Sign_Convention</x:v>
      </x:c>
    </x:row>
    <x:row r="2">
      <x:c r="A2" s="21" t="str">
        <x:v>P&amp;L</x:v>
      </x:c>
      <x:c r="B2" s="21" t="str">
        <x:v>4000</x:v>
      </x:c>
      <x:c r="C2" s="21" t="str">
        <x:v>Ingresos por producto</x:v>
      </x:c>
      <x:c r="D2" s="21" t="str">
        <x:v>Ingresos</x:v>
      </x:c>
      <x:c r="E2" s="21" t="str">
        <x:v>Revenue</x:v>
      </x:c>
      <x:c r="F2" s="21" t="str">
        <x:v>Ingresos positivos · gastos negativos</x:v>
      </x:c>
    </x:row>
    <x:row r="3">
      <x:c r="A3" s="21" t="str">
        <x:v>P&amp;L</x:v>
      </x:c>
      <x:c r="B3" s="21" t="str">
        <x:v>4010</x:v>
      </x:c>
      <x:c r="C3" s="21" t="str">
        <x:v>Ingresos por servicios</x:v>
      </x:c>
      <x:c r="D3" s="21" t="str">
        <x:v>Ingresos</x:v>
      </x:c>
      <x:c r="E3" s="21" t="str">
        <x:v>Revenue</x:v>
      </x:c>
      <x:c r="F3" s="21" t="str">
        <x:v>Ingresos positivos · gastos negativos</x:v>
      </x:c>
    </x:row>
    <x:row r="4">
      <x:c r="A4" s="21" t="str">
        <x:v>P&amp;L</x:v>
      </x:c>
      <x:c r="B4" s="21" t="str">
        <x:v>5000</x:v>
      </x:c>
      <x:c r="C4" s="21" t="str">
        <x:v>Materiales directos</x:v>
      </x:c>
      <x:c r="D4" s="21" t="str">
        <x:v>Coste de ventas</x:v>
      </x:c>
      <x:c r="E4" s="21" t="str">
        <x:v>COGS</x:v>
      </x:c>
      <x:c r="F4" s="21" t="str">
        <x:v>Ingresos positivos · gastos negativos</x:v>
      </x:c>
    </x:row>
    <x:row r="5">
      <x:c r="A5" s="21" t="str">
        <x:v>P&amp;L</x:v>
      </x:c>
      <x:c r="B5" s="21" t="str">
        <x:v>5010</x:v>
      </x:c>
      <x:c r="C5" s="21" t="str">
        <x:v>Mano de obra directa</x:v>
      </x:c>
      <x:c r="D5" s="21" t="str">
        <x:v>Coste de ventas</x:v>
      </x:c>
      <x:c r="E5" s="21" t="str">
        <x:v>COGS</x:v>
      </x:c>
      <x:c r="F5" s="21" t="str">
        <x:v>Ingresos positivos · gastos negativos</x:v>
      </x:c>
    </x:row>
    <x:row r="6">
      <x:c r="A6" s="21" t="str">
        <x:v>P&amp;L</x:v>
      </x:c>
      <x:c r="B6" s="21" t="str">
        <x:v>5020</x:v>
      </x:c>
      <x:c r="C6" s="21" t="str">
        <x:v>Logística y subcontratación</x:v>
      </x:c>
      <x:c r="D6" s="21" t="str">
        <x:v>Coste de ventas</x:v>
      </x:c>
      <x:c r="E6" s="21" t="str">
        <x:v>COGS</x:v>
      </x:c>
      <x:c r="F6" s="21" t="str">
        <x:v>Ingresos positivos · gastos negativos</x:v>
      </x:c>
    </x:row>
    <x:row r="7">
      <x:c r="A7" s="21" t="str">
        <x:v>P&amp;L</x:v>
      </x:c>
      <x:c r="B7" s="21" t="str">
        <x:v>6000</x:v>
      </x:c>
      <x:c r="C7" s="21" t="str">
        <x:v>Gastos de personal</x:v>
      </x:c>
      <x:c r="D7" s="21" t="str">
        <x:v>Gastos operativos</x:v>
      </x:c>
      <x:c r="E7" s="21" t="str">
        <x:v>OPEX</x:v>
      </x:c>
      <x:c r="F7" s="21" t="str">
        <x:v>Ingresos positivos · gastos negativos</x:v>
      </x:c>
    </x:row>
    <x:row r="8">
      <x:c r="A8" s="21" t="str">
        <x:v>P&amp;L</x:v>
      </x:c>
      <x:c r="B8" s="21" t="str">
        <x:v>6010</x:v>
      </x:c>
      <x:c r="C8" s="21" t="str">
        <x:v>Ventas y marketing</x:v>
      </x:c>
      <x:c r="D8" s="21" t="str">
        <x:v>Gastos operativos</x:v>
      </x:c>
      <x:c r="E8" s="21" t="str">
        <x:v>OPEX</x:v>
      </x:c>
      <x:c r="F8" s="21" t="str">
        <x:v>Ingresos positivos · gastos negativos</x:v>
      </x:c>
    </x:row>
    <x:row r="9">
      <x:c r="A9" s="21" t="str">
        <x:v>P&amp;L</x:v>
      </x:c>
      <x:c r="B9" s="21" t="str">
        <x:v>6020</x:v>
      </x:c>
      <x:c r="C9" s="21" t="str">
        <x:v>IT y sistemas</x:v>
      </x:c>
      <x:c r="D9" s="21" t="str">
        <x:v>Gastos operativos</x:v>
      </x:c>
      <x:c r="E9" s="21" t="str">
        <x:v>OPEX</x:v>
      </x:c>
      <x:c r="F9" s="21" t="str">
        <x:v>Ingresos positivos · gastos negativos</x:v>
      </x:c>
    </x:row>
    <x:row r="10">
      <x:c r="A10" s="21" t="str">
        <x:v>P&amp;L</x:v>
      </x:c>
      <x:c r="B10" s="21" t="str">
        <x:v>6030</x:v>
      </x:c>
      <x:c r="C10" s="21" t="str">
        <x:v>Alquileres e instalaciones</x:v>
      </x:c>
      <x:c r="D10" s="21" t="str">
        <x:v>Gastos operativos</x:v>
      </x:c>
      <x:c r="E10" s="21" t="str">
        <x:v>OPEX</x:v>
      </x:c>
      <x:c r="F10" s="21" t="str">
        <x:v>Ingresos positivos · gastos negativos</x:v>
      </x:c>
    </x:row>
    <x:row r="11">
      <x:c r="A11" s="21" t="str">
        <x:v>P&amp;L</x:v>
      </x:c>
      <x:c r="B11" s="21" t="str">
        <x:v>6040</x:v>
      </x:c>
      <x:c r="C11" s="21" t="str">
        <x:v>Otros gastos operativos</x:v>
      </x:c>
      <x:c r="D11" s="21" t="str">
        <x:v>Gastos operativos</x:v>
      </x:c>
      <x:c r="E11" s="21" t="str">
        <x:v>OPEX</x:v>
      </x:c>
      <x:c r="F11" s="21" t="str">
        <x:v>Ingresos positivos · gastos negativos</x:v>
      </x:c>
    </x:row>
    <x:row r="12">
      <x:c r="A12" s="21" t="str">
        <x:v>P&amp;L</x:v>
      </x:c>
      <x:c r="B12" s="21" t="str">
        <x:v>6100</x:v>
      </x:c>
      <x:c r="C12" s="21" t="str">
        <x:v>Depreciación</x:v>
      </x:c>
      <x:c r="D12" s="21" t="str">
        <x:v>D&amp;A</x:v>
      </x:c>
      <x:c r="E12" s="21" t="str">
        <x:v>Non-cash</x:v>
      </x:c>
      <x:c r="F12" s="21" t="str">
        <x:v>Ingresos positivos · gastos negativos</x:v>
      </x:c>
    </x:row>
    <x:row r="13">
      <x:c r="A13" s="21" t="str">
        <x:v>P&amp;L</x:v>
      </x:c>
      <x:c r="B13" s="21" t="str">
        <x:v>6110</x:v>
      </x:c>
      <x:c r="C13" s="21" t="str">
        <x:v>Amortización</x:v>
      </x:c>
      <x:c r="D13" s="21" t="str">
        <x:v>D&amp;A</x:v>
      </x:c>
      <x:c r="E13" s="21" t="str">
        <x:v>Non-cash</x:v>
      </x:c>
      <x:c r="F13" s="21" t="str">
        <x:v>Ingresos positivos · gastos negativos</x:v>
      </x:c>
    </x:row>
    <x:row r="14">
      <x:c r="A14" s="21" t="str">
        <x:v>P&amp;L</x:v>
      </x:c>
      <x:c r="B14" s="21" t="str">
        <x:v>6200</x:v>
      </x:c>
      <x:c r="C14" s="21" t="str">
        <x:v>Deterioros</x:v>
      </x:c>
      <x:c r="D14" s="21" t="str">
        <x:v>Otros resultados operativos</x:v>
      </x:c>
      <x:c r="E14" s="21" t="str">
        <x:v>Non-cash</x:v>
      </x:c>
      <x:c r="F14" s="21" t="str">
        <x:v>Ingresos positivos · gastos negativos</x:v>
      </x:c>
    </x:row>
    <x:row r="15">
      <x:c r="A15" s="21" t="str">
        <x:v>P&amp;L</x:v>
      </x:c>
      <x:c r="B15" s="21" t="str">
        <x:v>6300</x:v>
      </x:c>
      <x:c r="C15" s="21" t="str">
        <x:v>Resultado por venta de activos</x:v>
      </x:c>
      <x:c r="D15" s="21" t="str">
        <x:v>Otros resultados operativos</x:v>
      </x:c>
      <x:c r="E15" s="21" t="str">
        <x:v>Investing adjustment</x:v>
      </x:c>
      <x:c r="F15" s="21" t="str">
        <x:v>Ingresos positivos · gastos negativos</x:v>
      </x:c>
    </x:row>
    <x:row r="16">
      <x:c r="A16" s="21" t="str">
        <x:v>P&amp;L</x:v>
      </x:c>
      <x:c r="B16" s="21" t="str">
        <x:v>7000</x:v>
      </x:c>
      <x:c r="C16" s="21" t="str">
        <x:v>Gastos financieros</x:v>
      </x:c>
      <x:c r="D16" s="21" t="str">
        <x:v>Resultado financiero</x:v>
      </x:c>
      <x:c r="E16" s="21" t="str">
        <x:v>Operating</x:v>
      </x:c>
      <x:c r="F16" s="21" t="str">
        <x:v>Ingresos positivos · gastos negativos</x:v>
      </x:c>
    </x:row>
    <x:row r="17">
      <x:c r="A17" s="21" t="str">
        <x:v>P&amp;L</x:v>
      </x:c>
      <x:c r="B17" s="21" t="str">
        <x:v>7100</x:v>
      </x:c>
      <x:c r="C17" s="21" t="str">
        <x:v>Ingresos financieros</x:v>
      </x:c>
      <x:c r="D17" s="21" t="str">
        <x:v>Resultado financiero</x:v>
      </x:c>
      <x:c r="E17" s="21" t="str">
        <x:v>Operating</x:v>
      </x:c>
      <x:c r="F17" s="21" t="str">
        <x:v>Ingresos positivos · gastos negativos</x:v>
      </x:c>
    </x:row>
    <x:row r="18">
      <x:c r="A18" s="21" t="str">
        <x:v>P&amp;L</x:v>
      </x:c>
      <x:c r="B18" s="21" t="str">
        <x:v>8000</x:v>
      </x:c>
      <x:c r="C18" s="21" t="str">
        <x:v>Impuesto sobre beneficios</x:v>
      </x:c>
      <x:c r="D18" s="21" t="str">
        <x:v>Impuestos</x:v>
      </x:c>
      <x:c r="E18" s="21" t="str">
        <x:v>Operating</x:v>
      </x:c>
      <x:c r="F18" s="21" t="str">
        <x:v>Ingresos positivos · gastos negativos</x:v>
      </x:c>
    </x:row>
    <x:row r="19">
      <x:c r="A19" s="21" t="str">
        <x:v>Balance</x:v>
      </x:c>
      <x:c r="B19" s="21" t="str">
        <x:v>1000</x:v>
      </x:c>
      <x:c r="C19" s="21" t="str">
        <x:v>Efectivo y equivalentes</x:v>
      </x:c>
      <x:c r="D19" s="21" t="str">
        <x:v>Activo corriente</x:v>
      </x:c>
      <x:c r="E19" s="21" t="str">
        <x:v>Cash</x:v>
      </x:c>
      <x:c r="F19" s="21" t="str">
        <x:v>Saldos positivos por naturaleza</x:v>
      </x:c>
    </x:row>
    <x:row r="20">
      <x:c r="A20" s="21" t="str">
        <x:v>Balance</x:v>
      </x:c>
      <x:c r="B20" s="21" t="str">
        <x:v>1100</x:v>
      </x:c>
      <x:c r="C20" s="21" t="str">
        <x:v>Clientes</x:v>
      </x:c>
      <x:c r="D20" s="21" t="str">
        <x:v>Activo corriente</x:v>
      </x:c>
      <x:c r="E20" s="21" t="str">
        <x:v>Working capital</x:v>
      </x:c>
      <x:c r="F20" s="21" t="str">
        <x:v>Saldos positivos por naturaleza</x:v>
      </x:c>
    </x:row>
    <x:row r="21">
      <x:c r="A21" s="21" t="str">
        <x:v>Balance</x:v>
      </x:c>
      <x:c r="B21" s="21" t="str">
        <x:v>1200</x:v>
      </x:c>
      <x:c r="C21" s="21" t="str">
        <x:v>Existencias</x:v>
      </x:c>
      <x:c r="D21" s="21" t="str">
        <x:v>Activo corriente</x:v>
      </x:c>
      <x:c r="E21" s="21" t="str">
        <x:v>Working capital</x:v>
      </x:c>
      <x:c r="F21" s="21" t="str">
        <x:v>Saldos positivos por naturaleza</x:v>
      </x:c>
    </x:row>
    <x:row r="22">
      <x:c r="A22" s="21" t="str">
        <x:v>Balance</x:v>
      </x:c>
      <x:c r="B22" s="21" t="str">
        <x:v>1300</x:v>
      </x:c>
      <x:c r="C22" s="21" t="str">
        <x:v>Pagos anticipados y otros activos corrientes</x:v>
      </x:c>
      <x:c r="D22" s="21" t="str">
        <x:v>Activo corriente</x:v>
      </x:c>
      <x:c r="E22" s="21" t="str">
        <x:v>Working capital</x:v>
      </x:c>
      <x:c r="F22" s="21" t="str">
        <x:v>Saldos positivos por naturaleza</x:v>
      </x:c>
    </x:row>
    <x:row r="23">
      <x:c r="A23" s="21" t="str">
        <x:v>Balance</x:v>
      </x:c>
      <x:c r="B23" s="21" t="str">
        <x:v>1400</x:v>
      </x:c>
      <x:c r="C23" s="21" t="str">
        <x:v>Inmovilizado material neto</x:v>
      </x:c>
      <x:c r="D23" s="21" t="str">
        <x:v>Activo no corriente</x:v>
      </x:c>
      <x:c r="E23" s="21" t="str">
        <x:v>Investing</x:v>
      </x:c>
      <x:c r="F23" s="21" t="str">
        <x:v>Saldos positivos por naturaleza</x:v>
      </x:c>
    </x:row>
    <x:row r="24">
      <x:c r="A24" s="21" t="str">
        <x:v>Balance</x:v>
      </x:c>
      <x:c r="B24" s="21" t="str">
        <x:v>1500</x:v>
      </x:c>
      <x:c r="C24" s="21" t="str">
        <x:v>Activos intangibles netos</x:v>
      </x:c>
      <x:c r="D24" s="21" t="str">
        <x:v>Activo no corriente</x:v>
      </x:c>
      <x:c r="E24" s="21" t="str">
        <x:v>Investing</x:v>
      </x:c>
      <x:c r="F24" s="21" t="str">
        <x:v>Saldos positivos por naturaleza</x:v>
      </x:c>
    </x:row>
    <x:row r="25">
      <x:c r="A25" s="21" t="str">
        <x:v>Balance</x:v>
      </x:c>
      <x:c r="B25" s="21" t="str">
        <x:v>1600</x:v>
      </x:c>
      <x:c r="C25" s="21" t="str">
        <x:v>Otros activos no corrientes</x:v>
      </x:c>
      <x:c r="D25" s="21" t="str">
        <x:v>Activo no corriente</x:v>
      </x:c>
      <x:c r="E25" s="21" t="str">
        <x:v>Other</x:v>
      </x:c>
      <x:c r="F25" s="21" t="str">
        <x:v>Saldos positivos por naturaleza</x:v>
      </x:c>
    </x:row>
    <x:row r="26">
      <x:c r="A26" s="21" t="str">
        <x:v>Balance</x:v>
      </x:c>
      <x:c r="B26" s="21" t="str">
        <x:v>2000</x:v>
      </x:c>
      <x:c r="C26" s="21" t="str">
        <x:v>Proveedores</x:v>
      </x:c>
      <x:c r="D26" s="21" t="str">
        <x:v>Pasivo corriente</x:v>
      </x:c>
      <x:c r="E26" s="21" t="str">
        <x:v>Working capital</x:v>
      </x:c>
      <x:c r="F26" s="21" t="str">
        <x:v>Saldos positivos por naturaleza</x:v>
      </x:c>
    </x:row>
    <x:row r="27">
      <x:c r="A27" s="21" t="str">
        <x:v>Balance</x:v>
      </x:c>
      <x:c r="B27" s="21" t="str">
        <x:v>2100</x:v>
      </x:c>
      <x:c r="C27" s="21" t="str">
        <x:v>Acreedores y gastos devengados</x:v>
      </x:c>
      <x:c r="D27" s="21" t="str">
        <x:v>Pasivo corriente</x:v>
      </x:c>
      <x:c r="E27" s="21" t="str">
        <x:v>Working capital</x:v>
      </x:c>
      <x:c r="F27" s="21" t="str">
        <x:v>Saldos positivos por naturaleza</x:v>
      </x:c>
    </x:row>
    <x:row r="28">
      <x:c r="A28" s="21" t="str">
        <x:v>Balance</x:v>
      </x:c>
      <x:c r="B28" s="21" t="str">
        <x:v>2200</x:v>
      </x:c>
      <x:c r="C28" s="21" t="str">
        <x:v>Impuestos a pagar</x:v>
      </x:c>
      <x:c r="D28" s="21" t="str">
        <x:v>Pasivo corriente</x:v>
      </x:c>
      <x:c r="E28" s="21" t="str">
        <x:v>Working capital</x:v>
      </x:c>
      <x:c r="F28" s="21" t="str">
        <x:v>Saldos positivos por naturaleza</x:v>
      </x:c>
    </x:row>
    <x:row r="29">
      <x:c r="A29" s="21" t="str">
        <x:v>Balance</x:v>
      </x:c>
      <x:c r="B29" s="21" t="str">
        <x:v>2300</x:v>
      </x:c>
      <x:c r="C29" s="21" t="str">
        <x:v>Deuda financiera corriente</x:v>
      </x:c>
      <x:c r="D29" s="21" t="str">
        <x:v>Pasivo corriente</x:v>
      </x:c>
      <x:c r="E29" s="21" t="str">
        <x:v>Financing</x:v>
      </x:c>
      <x:c r="F29" s="21" t="str">
        <x:v>Saldos positivos por naturaleza</x:v>
      </x:c>
    </x:row>
    <x:row r="30">
      <x:c r="A30" s="21" t="str">
        <x:v>Balance</x:v>
      </x:c>
      <x:c r="B30" s="21" t="str">
        <x:v>2400</x:v>
      </x:c>
      <x:c r="C30" s="21" t="str">
        <x:v>Pasivos por arrendamiento corrientes</x:v>
      </x:c>
      <x:c r="D30" s="21" t="str">
        <x:v>Pasivo corriente</x:v>
      </x:c>
      <x:c r="E30" s="21" t="str">
        <x:v>Financing</x:v>
      </x:c>
      <x:c r="F30" s="21" t="str">
        <x:v>Saldos positivos por naturaleza</x:v>
      </x:c>
    </x:row>
    <x:row r="31">
      <x:c r="A31" s="21" t="str">
        <x:v>Balance</x:v>
      </x:c>
      <x:c r="B31" s="21" t="str">
        <x:v>2500</x:v>
      </x:c>
      <x:c r="C31" s="21" t="str">
        <x:v>Deuda financiera no corriente</x:v>
      </x:c>
      <x:c r="D31" s="21" t="str">
        <x:v>Pasivo no corriente</x:v>
      </x:c>
      <x:c r="E31" s="21" t="str">
        <x:v>Financing</x:v>
      </x:c>
      <x:c r="F31" s="21" t="str">
        <x:v>Saldos positivos por naturaleza</x:v>
      </x:c>
    </x:row>
    <x:row r="32">
      <x:c r="A32" s="21" t="str">
        <x:v>Balance</x:v>
      </x:c>
      <x:c r="B32" s="21" t="str">
        <x:v>2600</x:v>
      </x:c>
      <x:c r="C32" s="21" t="str">
        <x:v>Pasivos por arrendamiento no corrientes</x:v>
      </x:c>
      <x:c r="D32" s="21" t="str">
        <x:v>Pasivo no corriente</x:v>
      </x:c>
      <x:c r="E32" s="21" t="str">
        <x:v>Financing</x:v>
      </x:c>
      <x:c r="F32" s="21" t="str">
        <x:v>Saldos positivos por naturaleza</x:v>
      </x:c>
    </x:row>
    <x:row r="33">
      <x:c r="A33" s="21" t="str">
        <x:v>Balance</x:v>
      </x:c>
      <x:c r="B33" s="21" t="str">
        <x:v>2700</x:v>
      </x:c>
      <x:c r="C33" s="21" t="str">
        <x:v>Otros pasivos</x:v>
      </x:c>
      <x:c r="D33" s="21" t="str">
        <x:v>Pasivo no corriente</x:v>
      </x:c>
      <x:c r="E33" s="21" t="str">
        <x:v>Other</x:v>
      </x:c>
      <x:c r="F33" s="21" t="str">
        <x:v>Saldos positivos por naturaleza</x:v>
      </x:c>
    </x:row>
    <x:row r="34">
      <x:c r="A34" s="21" t="str">
        <x:v>Balance</x:v>
      </x:c>
      <x:c r="B34" s="21" t="str">
        <x:v>3000</x:v>
      </x:c>
      <x:c r="C34" s="21" t="str">
        <x:v>Capital social</x:v>
      </x:c>
      <x:c r="D34" s="21" t="str">
        <x:v>Patrimonio neto</x:v>
      </x:c>
      <x:c r="E34" s="21" t="str">
        <x:v>Equity</x:v>
      </x:c>
      <x:c r="F34" s="21" t="str">
        <x:v>Saldos positivos por naturaleza</x:v>
      </x:c>
    </x:row>
    <x:row r="35">
      <x:c r="A35" s="21" t="str">
        <x:v>Balance</x:v>
      </x:c>
      <x:c r="B35" s="21" t="str">
        <x:v>3100</x:v>
      </x:c>
      <x:c r="C35" s="21" t="str">
        <x:v>Resultados acumulados</x:v>
      </x:c>
      <x:c r="D35" s="21" t="str">
        <x:v>Patrimonio neto</x:v>
      </x:c>
      <x:c r="E35" s="21" t="str">
        <x:v>Equity</x:v>
      </x:c>
      <x:c r="F35" s="21" t="str">
        <x:v>Saldos positivos por naturaleza</x:v>
      </x:c>
    </x:row>
  </x:sheetData>
  <x:pageMargins left="0.7" right="0.7" top="0.75" bottom="0.75" header="0.3" footer="0.3"/>
  <x:tableParts count="1">
    <x:tablePart xmlns:r="http://schemas.openxmlformats.org/officeDocument/2006/relationships" r:id="Ra44a8f8e605e4da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12.670000076293945" hidden="0" customWidth="1"/>
    <x:col min="4" max="4" width="42" hidden="0" customWidth="1"/>
    <x:col min="5" max="5" width="42" hidden="0" customWidth="1"/>
    <x:col min="6" max="6" width="10.779999732971191" hidden="0" customWidth="1"/>
  </x:cols>
  <x:sheetData>
    <x:row r="1" ht="32" customHeight="1">
      <x:c r="A1" s="3" t="str">
        <x:v>Diccionario de datos</x:v>
      </x:c>
      <x:c r="B1" s="3" t="str">
        <x:v>Diccionario de datos</x:v>
      </x:c>
      <x:c r="C1" s="3" t="str">
        <x:v>Diccionario de datos</x:v>
      </x:c>
      <x:c r="D1" s="3" t="str">
        <x:v>Diccionario de datos</x:v>
      </x:c>
      <x:c r="E1" s="3" t="str">
        <x:v>Diccionario de datos</x:v>
      </x:c>
      <x:c r="F1" s="3" t="str">
        <x:v>Diccionario de datos</x:v>
      </x:c>
    </x:row>
    <x:row r="2" ht="30" customHeight="1">
      <x:c r="A2" s="7" t="str">
        <x:v>Definición de cada campo de las tres tablas fuente que alimentan el modelo.</x:v>
      </x:c>
      <x:c r="B2" s="7" t="str">
        <x:v>Definición de cada campo de las tres tablas fuente que alimentan el modelo.</x:v>
      </x:c>
      <x:c r="C2" s="7" t="str">
        <x:v>Definición de cada campo de las tres tablas fuente que alimentan el modelo.</x:v>
      </x:c>
      <x:c r="D2" s="7" t="str">
        <x:v>Definición de cada campo de las tres tablas fuente que alimentan el modelo.</x:v>
      </x:c>
      <x:c r="E2" s="7" t="str">
        <x:v>Definición de cada campo de las tres tablas fuente que alimentan el modelo.</x:v>
      </x:c>
      <x:c r="F2" s="7" t="str">
        <x:v>Definición de cada campo de las tres tablas fuente que alimentan el modelo.</x:v>
      </x:c>
    </x:row>
    <x:row r="4" ht="26" customHeight="1">
      <x:c r="A4" s="11" t="str">
        <x:v>Tabla</x:v>
      </x:c>
      <x:c r="B4" s="11" t="str">
        <x:v>Campo</x:v>
      </x:c>
      <x:c r="C4" s="11" t="str">
        <x:v>Tipo</x:v>
      </x:c>
      <x:c r="D4" s="11" t="str">
        <x:v>Descripción</x:v>
      </x:c>
      <x:c r="E4" s="11" t="str">
        <x:v>Regla</x:v>
      </x:c>
      <x:c r="F4" s="11" t="str">
        <x:v>Ejemplo</x:v>
      </x:c>
    </x:row>
    <x:row r="5">
      <x:c r="A5" s="21" t="str">
        <x:v>Income_Statement_Data</x:v>
      </x:c>
      <x:c r="B5" s="21" t="str">
        <x:v>Period_Key</x:v>
      </x:c>
      <x:c r="C5" s="21" t="str">
        <x:v>Texto YYYY-MM</x:v>
      </x:c>
      <x:c r="D5" s="21" t="str">
        <x:v>Mes contable</x:v>
      </x:c>
      <x:c r="E5" s="21" t="str">
        <x:v>Obligatorio; único con Account_Code</x:v>
      </x:c>
      <x:c r="F5" s="21" t="str">
        <x:v>2026-12</x:v>
      </x:c>
    </x:row>
    <x:row r="6">
      <x:c r="A6" s="21" t="str">
        <x:v>Income_Statement_Data</x:v>
      </x:c>
      <x:c r="B6" s="21" t="str">
        <x:v>Month_End</x:v>
      </x:c>
      <x:c r="C6" s="21" t="str">
        <x:v>Fecha ISO</x:v>
      </x:c>
      <x:c r="D6" s="21" t="str">
        <x:v>Fecha de cierre</x:v>
      </x:c>
      <x:c r="E6" s="21" t="str">
        <x:v>Debe pertenecer a Date_Dim</x:v>
      </x:c>
      <x:c r="F6" s="21" t="str">
        <x:v>2026-12-31</x:v>
      </x:c>
    </x:row>
    <x:row r="7">
      <x:c r="A7" s="21" t="str">
        <x:v>Income_Statement_Data</x:v>
      </x:c>
      <x:c r="B7" s="21" t="str">
        <x:v>Account_Code</x:v>
      </x:c>
      <x:c r="C7" s="21" t="str">
        <x:v>Texto</x:v>
      </x:c>
      <x:c r="D7" s="21" t="str">
        <x:v>Código de cuenta P&amp;L</x:v>
      </x:c>
      <x:c r="E7" s="21" t="str">
        <x:v>Debe existir en Account_Map</x:v>
      </x:c>
      <x:c r="F7" s="21" t="str">
        <x:v>4000</x:v>
      </x:c>
    </x:row>
    <x:row r="8">
      <x:c r="A8" s="21" t="str">
        <x:v>Income_Statement_Data</x:v>
      </x:c>
      <x:c r="B8" s="21" t="str">
        <x:v>Amount_EUR</x:v>
      </x:c>
      <x:c r="C8" s="21" t="str">
        <x:v>Número</x:v>
      </x:c>
      <x:c r="D8" s="21" t="str">
        <x:v>Movimiento mensual</x:v>
      </x:c>
      <x:c r="E8" s="21" t="str">
        <x:v>Ingresos positivos; gastos negativos</x:v>
      </x:c>
      <x:c r="F8" s="21" t="str">
        <x:v>3250000</x:v>
      </x:c>
    </x:row>
    <x:row r="9">
      <x:c r="A9" s="21" t="str">
        <x:v>Balance_Sheet_Data</x:v>
      </x:c>
      <x:c r="B9" s="21" t="str">
        <x:v>Period_Key</x:v>
      </x:c>
      <x:c r="C9" s="21" t="str">
        <x:v>Texto YYYY-MM</x:v>
      </x:c>
      <x:c r="D9" s="21" t="str">
        <x:v>Mes del saldo de cierre</x:v>
      </x:c>
      <x:c r="E9" s="21" t="str">
        <x:v>Incluye 2023-12 como apertura</x:v>
      </x:c>
      <x:c r="F9" s="21" t="str">
        <x:v>2025-06</x:v>
      </x:c>
    </x:row>
    <x:row r="10">
      <x:c r="A10" s="21" t="str">
        <x:v>Balance_Sheet_Data</x:v>
      </x:c>
      <x:c r="B10" s="21" t="str">
        <x:v>Account_Code</x:v>
      </x:c>
      <x:c r="C10" s="21" t="str">
        <x:v>Texto</x:v>
      </x:c>
      <x:c r="D10" s="21" t="str">
        <x:v>Código de balance</x:v>
      </x:c>
      <x:c r="E10" s="21" t="str">
        <x:v>Debe existir en Account_Map</x:v>
      </x:c>
      <x:c r="F10" s="21" t="str">
        <x:v>1000</x:v>
      </x:c>
    </x:row>
    <x:row r="11">
      <x:c r="A11" s="21" t="str">
        <x:v>Balance_Sheet_Data</x:v>
      </x:c>
      <x:c r="B11" s="21" t="str">
        <x:v>Amount_EUR</x:v>
      </x:c>
      <x:c r="C11" s="21" t="str">
        <x:v>Número</x:v>
      </x:c>
      <x:c r="D11" s="21" t="str">
        <x:v>Saldo al final del mes</x:v>
      </x:c>
      <x:c r="E11" s="21" t="str">
        <x:v>Positivo por naturaleza</x:v>
      </x:c>
      <x:c r="F11" s="21" t="str">
        <x:v>2480000</x:v>
      </x:c>
    </x:row>
    <x:row r="12">
      <x:c r="A12" s="21" t="str">
        <x:v>Supplemental_Movements</x:v>
      </x:c>
      <x:c r="B12" s="21" t="str">
        <x:v>Movement_Code</x:v>
      </x:c>
      <x:c r="C12" s="21" t="str">
        <x:v>Texto</x:v>
      </x:c>
      <x:c r="D12" s="21" t="str">
        <x:v>Naturaleza del cobro/pago</x:v>
      </x:c>
      <x:c r="E12" s="21" t="str">
        <x:v>Debe existir en catálogo de movimientos</x:v>
      </x:c>
      <x:c r="F12" s="21" t="str">
        <x:v>CAPEX</x:v>
      </x:c>
    </x:row>
    <x:row r="13">
      <x:c r="A13" s="21" t="str">
        <x:v>Supplemental_Movements</x:v>
      </x:c>
      <x:c r="B13" s="21" t="str">
        <x:v>Amount_EUR</x:v>
      </x:c>
      <x:c r="C13" s="21" t="str">
        <x:v>Número</x:v>
      </x:c>
      <x:c r="D13" s="21" t="str">
        <x:v>Importe del movimiento</x:v>
      </x:c>
      <x:c r="E13" s="21" t="str">
        <x:v>Positivo; el modelo asigna el signo de cash flow</x:v>
      </x:c>
      <x:c r="F13" s="21" t="str">
        <x:v>150000</x:v>
      </x:c>
    </x:row>
    <x:row r="14">
      <x:c r="A14" s="21" t="str">
        <x:v>Todas</x:v>
      </x:c>
      <x:c r="B14" s="21" t="str">
        <x:v>Data_Source</x:v>
      </x:c>
      <x:c r="C14" s="21" t="str">
        <x:v>Texto</x:v>
      </x:c>
      <x:c r="D14" s="21" t="str">
        <x:v>Origen simulado</x:v>
      </x:c>
      <x:c r="E14" s="21" t="str">
        <x:v>No puede quedar vacío</x:v>
      </x:c>
      <x:c r="F14" s="21" t="str">
        <x:v>ERP simulado</x:v>
      </x:c>
    </x:row>
    <x:row r="15">
      <x:c r="A15" s="21" t="str">
        <x:v>Todas</x:v>
      </x:c>
      <x:c r="B15" s="21" t="str">
        <x:v>Scenario</x:v>
      </x:c>
      <x:c r="C15" s="21" t="str">
        <x:v>Texto</x:v>
      </x:c>
      <x:c r="D15" s="21" t="str">
        <x:v>Tipo de dato</x:v>
      </x:c>
      <x:c r="E15" s="21" t="str">
        <x:v>Actual o Apertura</x:v>
      </x:c>
      <x:c r="F15" s="21" t="str">
        <x:v>Actual</x:v>
      </x:c>
    </x:row>
    <x:row r="16">
      <x:c r="A16" s="21" t="str">
        <x:v>Income / Balance</x:v>
      </x:c>
      <x:c r="B16" s="21" t="str">
        <x:v>Currency</x:v>
      </x:c>
      <x:c r="C16" s="21" t="str">
        <x:v>Texto</x:v>
      </x:c>
      <x:c r="D16" s="21" t="str">
        <x:v>Moneda</x:v>
      </x:c>
      <x:c r="E16" s="21" t="str">
        <x:v>EUR</x:v>
      </x:c>
      <x:c r="F16" s="21" t="str">
        <x:v>EUR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13" hidden="0" customWidth="1"/>
    <x:col min="3" max="3" width="12" hidden="0" customWidth="1"/>
    <x:col min="4" max="4" width="35" hidden="0" customWidth="1"/>
    <x:col min="5" max="5" width="11" hidden="0" customWidth="1"/>
    <x:col min="6" max="6" width="10.4399995803833" hidden="0" customWidth="1"/>
    <x:col min="7" max="7" width="7.329999923706055" hidden="0" customWidth="1"/>
    <x:col min="8" max="8" width="7.670000076293945" hidden="0" customWidth="1"/>
  </x:cols>
  <x:sheetData>
    <x:row r="1" ht="26" customHeight="1">
      <x:c r="A1" s="11" t="str">
        <x:v>Period_Key</x:v>
      </x:c>
      <x:c r="B1" s="11" t="str">
        <x:v>Month_End</x:v>
      </x:c>
      <x:c r="C1" s="11" t="str">
        <x:v>Account_Code</x:v>
      </x:c>
      <x:c r="D1" s="11" t="str">
        <x:v>Account_Name</x:v>
      </x:c>
      <x:c r="E1" s="11" t="str">
        <x:v>Amount_EUR</x:v>
      </x:c>
      <x:c r="F1" s="11" t="str">
        <x:v>Data_Source</x:v>
      </x:c>
      <x:c r="G1" s="11" t="str">
        <x:v>Scenario</x:v>
      </x:c>
      <x:c r="H1" s="11" t="str">
        <x:v>Currency</x:v>
      </x:c>
    </x:row>
    <x:row r="2">
      <x:c r="A2" s="23" t="str">
        <x:v>2024-01</x:v>
      </x:c>
      <x:c r="B2" s="23" t="str">
        <x:v>2024-01-31</x:v>
      </x:c>
      <x:c r="C2" s="23" t="str">
        <x:v>4000</x:v>
      </x:c>
      <x:c r="D2" s="23" t="str">
        <x:v>Ingresos por producto</x:v>
      </x:c>
      <x:c r="E2" s="24" t="n">
        <x:v>1854991</x:v>
      </x:c>
      <x:c r="F2" s="23" t="str">
        <x:v>ERP simulado</x:v>
      </x:c>
      <x:c r="G2" s="23" t="str">
        <x:v>Actual</x:v>
      </x:c>
      <x:c r="H2" s="23" t="str">
        <x:v>EUR</x:v>
      </x:c>
    </x:row>
    <x:row r="3">
      <x:c r="A3" s="23" t="str">
        <x:v>2024-01</x:v>
      </x:c>
      <x:c r="B3" s="23" t="str">
        <x:v>2024-01-31</x:v>
      </x:c>
      <x:c r="C3" s="23" t="str">
        <x:v>4010</x:v>
      </x:c>
      <x:c r="D3" s="23" t="str">
        <x:v>Ingresos por servicios</x:v>
      </x:c>
      <x:c r="E3" s="24" t="n">
        <x:v>755009</x:v>
      </x:c>
      <x:c r="F3" s="23" t="str">
        <x:v>ERP simulado</x:v>
      </x:c>
      <x:c r="G3" s="23" t="str">
        <x:v>Actual</x:v>
      </x:c>
      <x:c r="H3" s="23" t="str">
        <x:v>EUR</x:v>
      </x:c>
    </x:row>
    <x:row r="4">
      <x:c r="A4" s="23" t="str">
        <x:v>2024-01</x:v>
      </x:c>
      <x:c r="B4" s="23" t="str">
        <x:v>2024-01-31</x:v>
      </x:c>
      <x:c r="C4" s="23" t="str">
        <x:v>5000</x:v>
      </x:c>
      <x:c r="D4" s="23" t="str">
        <x:v>Materiales directos</x:v>
      </x:c>
      <x:c r="E4" s="24" t="n">
        <x:v>-952650</x:v>
      </x:c>
      <x:c r="F4" s="23" t="str">
        <x:v>ERP simulado</x:v>
      </x:c>
      <x:c r="G4" s="23" t="str">
        <x:v>Actual</x:v>
      </x:c>
      <x:c r="H4" s="23" t="str">
        <x:v>EUR</x:v>
      </x:c>
    </x:row>
    <x:row r="5">
      <x:c r="A5" s="23" t="str">
        <x:v>2024-01</x:v>
      </x:c>
      <x:c r="B5" s="23" t="str">
        <x:v>2024-01-31</x:v>
      </x:c>
      <x:c r="C5" s="23" t="str">
        <x:v>5010</x:v>
      </x:c>
      <x:c r="D5" s="23" t="str">
        <x:v>Mano de obra directa</x:v>
      </x:c>
      <x:c r="E5" s="24" t="n">
        <x:v>-456750</x:v>
      </x:c>
      <x:c r="F5" s="23" t="str">
        <x:v>ERP simulado</x:v>
      </x:c>
      <x:c r="G5" s="23" t="str">
        <x:v>Actual</x:v>
      </x:c>
      <x:c r="H5" s="23" t="str">
        <x:v>EUR</x:v>
      </x:c>
    </x:row>
    <x:row r="6">
      <x:c r="A6" s="23" t="str">
        <x:v>2024-01</x:v>
      </x:c>
      <x:c r="B6" s="23" t="str">
        <x:v>2024-01-31</x:v>
      </x:c>
      <x:c r="C6" s="23" t="str">
        <x:v>5020</x:v>
      </x:c>
      <x:c r="D6" s="23" t="str">
        <x:v>Logística y subcontratación</x:v>
      </x:c>
      <x:c r="E6" s="24" t="n">
        <x:v>-161820</x:v>
      </x:c>
      <x:c r="F6" s="23" t="str">
        <x:v>ERP simulado</x:v>
      </x:c>
      <x:c r="G6" s="23" t="str">
        <x:v>Actual</x:v>
      </x:c>
      <x:c r="H6" s="23" t="str">
        <x:v>EUR</x:v>
      </x:c>
    </x:row>
    <x:row r="7">
      <x:c r="A7" s="23" t="str">
        <x:v>2024-01</x:v>
      </x:c>
      <x:c r="B7" s="23" t="str">
        <x:v>2024-01-31</x:v>
      </x:c>
      <x:c r="C7" s="23" t="str">
        <x:v>6000</x:v>
      </x:c>
      <x:c r="D7" s="23" t="str">
        <x:v>Gastos de personal</x:v>
      </x:c>
      <x:c r="E7" s="24" t="n">
        <x:v>-362790</x:v>
      </x:c>
      <x:c r="F7" s="23" t="str">
        <x:v>ERP simulado</x:v>
      </x:c>
      <x:c r="G7" s="23" t="str">
        <x:v>Actual</x:v>
      </x:c>
      <x:c r="H7" s="23" t="str">
        <x:v>EUR</x:v>
      </x:c>
    </x:row>
    <x:row r="8">
      <x:c r="A8" s="23" t="str">
        <x:v>2024-01</x:v>
      </x:c>
      <x:c r="B8" s="23" t="str">
        <x:v>2024-01-31</x:v>
      </x:c>
      <x:c r="C8" s="23" t="str">
        <x:v>6010</x:v>
      </x:c>
      <x:c r="D8" s="23" t="str">
        <x:v>Ventas y marketing</x:v>
      </x:c>
      <x:c r="E8" s="24" t="n">
        <x:v>-88740</x:v>
      </x:c>
      <x:c r="F8" s="23" t="str">
        <x:v>ERP simulado</x:v>
      </x:c>
      <x:c r="G8" s="23" t="str">
        <x:v>Actual</x:v>
      </x:c>
      <x:c r="H8" s="23" t="str">
        <x:v>EUR</x:v>
      </x:c>
    </x:row>
    <x:row r="9">
      <x:c r="A9" s="23" t="str">
        <x:v>2024-01</x:v>
      </x:c>
      <x:c r="B9" s="23" t="str">
        <x:v>2024-01-31</x:v>
      </x:c>
      <x:c r="C9" s="23" t="str">
        <x:v>6020</x:v>
      </x:c>
      <x:c r="D9" s="23" t="str">
        <x:v>IT y sistemas</x:v>
      </x:c>
      <x:c r="E9" s="24" t="n">
        <x:v>-46980</x:v>
      </x:c>
      <x:c r="F9" s="23" t="str">
        <x:v>ERP simulado</x:v>
      </x:c>
      <x:c r="G9" s="23" t="str">
        <x:v>Actual</x:v>
      </x:c>
      <x:c r="H9" s="23" t="str">
        <x:v>EUR</x:v>
      </x:c>
    </x:row>
    <x:row r="10">
      <x:c r="A10" s="23" t="str">
        <x:v>2024-01</x:v>
      </x:c>
      <x:c r="B10" s="23" t="str">
        <x:v>2024-01-31</x:v>
      </x:c>
      <x:c r="C10" s="23" t="str">
        <x:v>6030</x:v>
      </x:c>
      <x:c r="D10" s="23" t="str">
        <x:v>Alquileres e instalaciones</x:v>
      </x:c>
      <x:c r="E10" s="24" t="n">
        <x:v>-31320</x:v>
      </x:c>
      <x:c r="F10" s="23" t="str">
        <x:v>ERP simulado</x:v>
      </x:c>
      <x:c r="G10" s="23" t="str">
        <x:v>Actual</x:v>
      </x:c>
      <x:c r="H10" s="23" t="str">
        <x:v>EUR</x:v>
      </x:c>
    </x:row>
    <x:row r="11">
      <x:c r="A11" s="23" t="str">
        <x:v>2024-01</x:v>
      </x:c>
      <x:c r="B11" s="23" t="str">
        <x:v>2024-01-31</x:v>
      </x:c>
      <x:c r="C11" s="23" t="str">
        <x:v>6040</x:v>
      </x:c>
      <x:c r="D11" s="23" t="str">
        <x:v>Otros gastos operativos</x:v>
      </x:c>
      <x:c r="E11" s="24" t="n">
        <x:v>-62640</x:v>
      </x:c>
      <x:c r="F11" s="23" t="str">
        <x:v>ERP simulado</x:v>
      </x:c>
      <x:c r="G11" s="23" t="str">
        <x:v>Actual</x:v>
      </x:c>
      <x:c r="H11" s="23" t="str">
        <x:v>EUR</x:v>
      </x:c>
    </x:row>
    <x:row r="12">
      <x:c r="A12" s="23" t="str">
        <x:v>2024-01</x:v>
      </x:c>
      <x:c r="B12" s="23" t="str">
        <x:v>2024-01-31</x:v>
      </x:c>
      <x:c r="C12" s="23" t="str">
        <x:v>6100</x:v>
      </x:c>
      <x:c r="D12" s="23" t="str">
        <x:v>Depreciación</x:v>
      </x:c>
      <x:c r="E12" s="24" t="n">
        <x:v>-105000</x:v>
      </x:c>
      <x:c r="F12" s="23" t="str">
        <x:v>ERP simulado</x:v>
      </x:c>
      <x:c r="G12" s="23" t="str">
        <x:v>Actual</x:v>
      </x:c>
      <x:c r="H12" s="23" t="str">
        <x:v>EUR</x:v>
      </x:c>
    </x:row>
    <x:row r="13">
      <x:c r="A13" s="23" t="str">
        <x:v>2024-01</x:v>
      </x:c>
      <x:c r="B13" s="23" t="str">
        <x:v>2024-01-31</x:v>
      </x:c>
      <x:c r="C13" s="23" t="str">
        <x:v>6110</x:v>
      </x:c>
      <x:c r="D13" s="23" t="str">
        <x:v>Amortización</x:v>
      </x:c>
      <x:c r="E13" s="24" t="n">
        <x:v>-22000</x:v>
      </x:c>
      <x:c r="F13" s="23" t="str">
        <x:v>ERP simulado</x:v>
      </x:c>
      <x:c r="G13" s="23" t="str">
        <x:v>Actual</x:v>
      </x:c>
      <x:c r="H13" s="23" t="str">
        <x:v>EUR</x:v>
      </x:c>
    </x:row>
    <x:row r="14">
      <x:c r="A14" s="23" t="str">
        <x:v>2024-01</x:v>
      </x:c>
      <x:c r="B14" s="23" t="str">
        <x:v>2024-01-31</x:v>
      </x:c>
      <x:c r="C14" s="23" t="str">
        <x:v>6200</x:v>
      </x:c>
      <x:c r="D14" s="23" t="str">
        <x:v>Deterioros</x:v>
      </x:c>
      <x:c r="E14" s="24" t="n">
        <x:v>0</x:v>
      </x:c>
      <x:c r="F14" s="23" t="str">
        <x:v>ERP simulado</x:v>
      </x:c>
      <x:c r="G14" s="23" t="str">
        <x:v>Actual</x:v>
      </x:c>
      <x:c r="H14" s="23" t="str">
        <x:v>EUR</x:v>
      </x:c>
    </x:row>
    <x:row r="15">
      <x:c r="A15" s="23" t="str">
        <x:v>2024-01</x:v>
      </x:c>
      <x:c r="B15" s="23" t="str">
        <x:v>2024-01-31</x:v>
      </x:c>
      <x:c r="C15" s="23" t="str">
        <x:v>6300</x:v>
      </x:c>
      <x:c r="D15" s="23" t="str">
        <x:v>Resultado por venta de activos</x:v>
      </x:c>
      <x:c r="E15" s="24" t="n">
        <x:v>0</x:v>
      </x:c>
      <x:c r="F15" s="23" t="str">
        <x:v>ERP simulado</x:v>
      </x:c>
      <x:c r="G15" s="23" t="str">
        <x:v>Actual</x:v>
      </x:c>
      <x:c r="H15" s="23" t="str">
        <x:v>EUR</x:v>
      </x:c>
    </x:row>
    <x:row r="16">
      <x:c r="A16" s="23" t="str">
        <x:v>2024-01</x:v>
      </x:c>
      <x:c r="B16" s="23" t="str">
        <x:v>2024-01-31</x:v>
      </x:c>
      <x:c r="C16" s="23" t="str">
        <x:v>7000</x:v>
      </x:c>
      <x:c r="D16" s="23" t="str">
        <x:v>Gastos financieros</x:v>
      </x:c>
      <x:c r="E16" s="24" t="n">
        <x:v>-36000</x:v>
      </x:c>
      <x:c r="F16" s="23" t="str">
        <x:v>ERP simulado</x:v>
      </x:c>
      <x:c r="G16" s="23" t="str">
        <x:v>Actual</x:v>
      </x:c>
      <x:c r="H16" s="23" t="str">
        <x:v>EUR</x:v>
      </x:c>
    </x:row>
    <x:row r="17">
      <x:c r="A17" s="23" t="str">
        <x:v>2024-01</x:v>
      </x:c>
      <x:c r="B17" s="23" t="str">
        <x:v>2024-01-31</x:v>
      </x:c>
      <x:c r="C17" s="23" t="str">
        <x:v>7100</x:v>
      </x:c>
      <x:c r="D17" s="23" t="str">
        <x:v>Ingresos financieros</x:v>
      </x:c>
      <x:c r="E17" s="24" t="n">
        <x:v>2400</x:v>
      </x:c>
      <x:c r="F17" s="23" t="str">
        <x:v>ERP simulado</x:v>
      </x:c>
      <x:c r="G17" s="23" t="str">
        <x:v>Actual</x:v>
      </x:c>
      <x:c r="H17" s="23" t="str">
        <x:v>EUR</x:v>
      </x:c>
    </x:row>
    <x:row r="18">
      <x:c r="A18" s="23" t="str">
        <x:v>2024-01</x:v>
      </x:c>
      <x:c r="B18" s="23" t="str">
        <x:v>2024-01-31</x:v>
      </x:c>
      <x:c r="C18" s="23" t="str">
        <x:v>8000</x:v>
      </x:c>
      <x:c r="D18" s="23" t="str">
        <x:v>Impuesto sobre beneficios</x:v>
      </x:c>
      <x:c r="E18" s="24" t="n">
        <x:v>-71428</x:v>
      </x:c>
      <x:c r="F18" s="23" t="str">
        <x:v>ERP simulado</x:v>
      </x:c>
      <x:c r="G18" s="23" t="str">
        <x:v>Actual</x:v>
      </x:c>
      <x:c r="H18" s="23" t="str">
        <x:v>EUR</x:v>
      </x:c>
    </x:row>
    <x:row r="19">
      <x:c r="A19" s="23" t="str">
        <x:v>2024-02</x:v>
      </x:c>
      <x:c r="B19" s="23" t="str">
        <x:v>2024-02-29</x:v>
      </x:c>
      <x:c r="C19" s="23" t="str">
        <x:v>4000</x:v>
      </x:c>
      <x:c r="D19" s="23" t="str">
        <x:v>Ingresos por producto</x:v>
      </x:c>
      <x:c r="E19" s="24" t="n">
        <x:v>1919245</x:v>
      </x:c>
      <x:c r="F19" s="23" t="str">
        <x:v>ERP simulado</x:v>
      </x:c>
      <x:c r="G19" s="23" t="str">
        <x:v>Actual</x:v>
      </x:c>
      <x:c r="H19" s="23" t="str">
        <x:v>EUR</x:v>
      </x:c>
    </x:row>
    <x:row r="20">
      <x:c r="A20" s="23" t="str">
        <x:v>2024-02</x:v>
      </x:c>
      <x:c r="B20" s="23" t="str">
        <x:v>2024-02-29</x:v>
      </x:c>
      <x:c r="C20" s="23" t="str">
        <x:v>4010</x:v>
      </x:c>
      <x:c r="D20" s="23" t="str">
        <x:v>Ingresos por servicios</x:v>
      </x:c>
      <x:c r="E20" s="24" t="n">
        <x:v>793937</x:v>
      </x:c>
      <x:c r="F20" s="23" t="str">
        <x:v>ERP simulado</x:v>
      </x:c>
      <x:c r="G20" s="23" t="str">
        <x:v>Actual</x:v>
      </x:c>
      <x:c r="H20" s="23" t="str">
        <x:v>EUR</x:v>
      </x:c>
    </x:row>
    <x:row r="21">
      <x:c r="A21" s="23" t="str">
        <x:v>2024-02</x:v>
      </x:c>
      <x:c r="B21" s="23" t="str">
        <x:v>2024-02-29</x:v>
      </x:c>
      <x:c r="C21" s="23" t="str">
        <x:v>5000</x:v>
      </x:c>
      <x:c r="D21" s="23" t="str">
        <x:v>Materiales directos</x:v>
      </x:c>
      <x:c r="E21" s="24" t="n">
        <x:v>-990311</x:v>
      </x:c>
      <x:c r="F21" s="23" t="str">
        <x:v>ERP simulado</x:v>
      </x:c>
      <x:c r="G21" s="23" t="str">
        <x:v>Actual</x:v>
      </x:c>
      <x:c r="H21" s="23" t="str">
        <x:v>EUR</x:v>
      </x:c>
    </x:row>
    <x:row r="22">
      <x:c r="A22" s="23" t="str">
        <x:v>2024-02</x:v>
      </x:c>
      <x:c r="B22" s="23" t="str">
        <x:v>2024-02-29</x:v>
      </x:c>
      <x:c r="C22" s="23" t="str">
        <x:v>5010</x:v>
      </x:c>
      <x:c r="D22" s="23" t="str">
        <x:v>Mano de obra directa</x:v>
      </x:c>
      <x:c r="E22" s="24" t="n">
        <x:v>-474807</x:v>
      </x:c>
      <x:c r="F22" s="23" t="str">
        <x:v>ERP simulado</x:v>
      </x:c>
      <x:c r="G22" s="23" t="str">
        <x:v>Actual</x:v>
      </x:c>
      <x:c r="H22" s="23" t="str">
        <x:v>EUR</x:v>
      </x:c>
    </x:row>
    <x:row r="23">
      <x:c r="A23" s="23" t="str">
        <x:v>2024-02</x:v>
      </x:c>
      <x:c r="B23" s="23" t="str">
        <x:v>2024-02-29</x:v>
      </x:c>
      <x:c r="C23" s="23" t="str">
        <x:v>5020</x:v>
      </x:c>
      <x:c r="D23" s="23" t="str">
        <x:v>Logística y subcontratación</x:v>
      </x:c>
      <x:c r="E23" s="24" t="n">
        <x:v>-168217</x:v>
      </x:c>
      <x:c r="F23" s="23" t="str">
        <x:v>ERP simulado</x:v>
      </x:c>
      <x:c r="G23" s="23" t="str">
        <x:v>Actual</x:v>
      </x:c>
      <x:c r="H23" s="23" t="str">
        <x:v>EUR</x:v>
      </x:c>
    </x:row>
    <x:row r="24">
      <x:c r="A24" s="23" t="str">
        <x:v>2024-02</x:v>
      </x:c>
      <x:c r="B24" s="23" t="str">
        <x:v>2024-02-29</x:v>
      </x:c>
      <x:c r="C24" s="23" t="str">
        <x:v>6000</x:v>
      </x:c>
      <x:c r="D24" s="23" t="str">
        <x:v>Gastos de personal</x:v>
      </x:c>
      <x:c r="E24" s="24" t="n">
        <x:v>-376964</x:v>
      </x:c>
      <x:c r="F24" s="23" t="str">
        <x:v>ERP simulado</x:v>
      </x:c>
      <x:c r="G24" s="23" t="str">
        <x:v>Actual</x:v>
      </x:c>
      <x:c r="H24" s="23" t="str">
        <x:v>EUR</x:v>
      </x:c>
    </x:row>
    <x:row r="25">
      <x:c r="A25" s="23" t="str">
        <x:v>2024-02</x:v>
      </x:c>
      <x:c r="B25" s="23" t="str">
        <x:v>2024-02-29</x:v>
      </x:c>
      <x:c r="C25" s="23" t="str">
        <x:v>6010</x:v>
      </x:c>
      <x:c r="D25" s="23" t="str">
        <x:v>Ventas y marketing</x:v>
      </x:c>
      <x:c r="E25" s="24" t="n">
        <x:v>-92248</x:v>
      </x:c>
      <x:c r="F25" s="23" t="str">
        <x:v>ERP simulado</x:v>
      </x:c>
      <x:c r="G25" s="23" t="str">
        <x:v>Actual</x:v>
      </x:c>
      <x:c r="H25" s="23" t="str">
        <x:v>EUR</x:v>
      </x:c>
    </x:row>
    <x:row r="26">
      <x:c r="A26" s="23" t="str">
        <x:v>2024-02</x:v>
      </x:c>
      <x:c r="B26" s="23" t="str">
        <x:v>2024-02-29</x:v>
      </x:c>
      <x:c r="C26" s="23" t="str">
        <x:v>6020</x:v>
      </x:c>
      <x:c r="D26" s="23" t="str">
        <x:v>IT y sistemas</x:v>
      </x:c>
      <x:c r="E26" s="24" t="n">
        <x:v>-48837</x:v>
      </x:c>
      <x:c r="F26" s="23" t="str">
        <x:v>ERP simulado</x:v>
      </x:c>
      <x:c r="G26" s="23" t="str">
        <x:v>Actual</x:v>
      </x:c>
      <x:c r="H26" s="23" t="str">
        <x:v>EUR</x:v>
      </x:c>
    </x:row>
    <x:row r="27">
      <x:c r="A27" s="23" t="str">
        <x:v>2024-02</x:v>
      </x:c>
      <x:c r="B27" s="23" t="str">
        <x:v>2024-02-29</x:v>
      </x:c>
      <x:c r="C27" s="23" t="str">
        <x:v>6030</x:v>
      </x:c>
      <x:c r="D27" s="23" t="str">
        <x:v>Alquileres e instalaciones</x:v>
      </x:c>
      <x:c r="E27" s="24" t="n">
        <x:v>-32558</x:v>
      </x:c>
      <x:c r="F27" s="23" t="str">
        <x:v>ERP simulado</x:v>
      </x:c>
      <x:c r="G27" s="23" t="str">
        <x:v>Actual</x:v>
      </x:c>
      <x:c r="H27" s="23" t="str">
        <x:v>EUR</x:v>
      </x:c>
    </x:row>
    <x:row r="28">
      <x:c r="A28" s="23" t="str">
        <x:v>2024-02</x:v>
      </x:c>
      <x:c r="B28" s="23" t="str">
        <x:v>2024-02-29</x:v>
      </x:c>
      <x:c r="C28" s="23" t="str">
        <x:v>6040</x:v>
      </x:c>
      <x:c r="D28" s="23" t="str">
        <x:v>Otros gastos operativos</x:v>
      </x:c>
      <x:c r="E28" s="24" t="n">
        <x:v>-65116</x:v>
      </x:c>
      <x:c r="F28" s="23" t="str">
        <x:v>ERP simulado</x:v>
      </x:c>
      <x:c r="G28" s="23" t="str">
        <x:v>Actual</x:v>
      </x:c>
      <x:c r="H28" s="23" t="str">
        <x:v>EUR</x:v>
      </x:c>
    </x:row>
    <x:row r="29">
      <x:c r="A29" s="23" t="str">
        <x:v>2024-02</x:v>
      </x:c>
      <x:c r="B29" s="23" t="str">
        <x:v>2024-02-29</x:v>
      </x:c>
      <x:c r="C29" s="23" t="str">
        <x:v>6100</x:v>
      </x:c>
      <x:c r="D29" s="23" t="str">
        <x:v>Depreciación</x:v>
      </x:c>
      <x:c r="E29" s="24" t="n">
        <x:v>-107500</x:v>
      </x:c>
      <x:c r="F29" s="23" t="str">
        <x:v>ERP simulado</x:v>
      </x:c>
      <x:c r="G29" s="23" t="str">
        <x:v>Actual</x:v>
      </x:c>
      <x:c r="H29" s="23" t="str">
        <x:v>EUR</x:v>
      </x:c>
    </x:row>
    <x:row r="30">
      <x:c r="A30" s="23" t="str">
        <x:v>2024-02</x:v>
      </x:c>
      <x:c r="B30" s="23" t="str">
        <x:v>2024-02-29</x:v>
      </x:c>
      <x:c r="C30" s="23" t="str">
        <x:v>6110</x:v>
      </x:c>
      <x:c r="D30" s="23" t="str">
        <x:v>Amortización</x:v>
      </x:c>
      <x:c r="E30" s="24" t="n">
        <x:v>-22350</x:v>
      </x:c>
      <x:c r="F30" s="23" t="str">
        <x:v>ERP simulado</x:v>
      </x:c>
      <x:c r="G30" s="23" t="str">
        <x:v>Actual</x:v>
      </x:c>
      <x:c r="H30" s="23" t="str">
        <x:v>EUR</x:v>
      </x:c>
    </x:row>
    <x:row r="31">
      <x:c r="A31" s="23" t="str">
        <x:v>2024-02</x:v>
      </x:c>
      <x:c r="B31" s="23" t="str">
        <x:v>2024-02-29</x:v>
      </x:c>
      <x:c r="C31" s="23" t="str">
        <x:v>6200</x:v>
      </x:c>
      <x:c r="D31" s="23" t="str">
        <x:v>Deterioros</x:v>
      </x:c>
      <x:c r="E31" s="24" t="n">
        <x:v>0</x:v>
      </x:c>
      <x:c r="F31" s="23" t="str">
        <x:v>ERP simulado</x:v>
      </x:c>
      <x:c r="G31" s="23" t="str">
        <x:v>Actual</x:v>
      </x:c>
      <x:c r="H31" s="23" t="str">
        <x:v>EUR</x:v>
      </x:c>
    </x:row>
    <x:row r="32">
      <x:c r="A32" s="23" t="str">
        <x:v>2024-02</x:v>
      </x:c>
      <x:c r="B32" s="23" t="str">
        <x:v>2024-02-29</x:v>
      </x:c>
      <x:c r="C32" s="23" t="str">
        <x:v>6300</x:v>
      </x:c>
      <x:c r="D32" s="23" t="str">
        <x:v>Resultado por venta de activos</x:v>
      </x:c>
      <x:c r="E32" s="24" t="n">
        <x:v>0</x:v>
      </x:c>
      <x:c r="F32" s="23" t="str">
        <x:v>ERP simulado</x:v>
      </x:c>
      <x:c r="G32" s="23" t="str">
        <x:v>Actual</x:v>
      </x:c>
      <x:c r="H32" s="23" t="str">
        <x:v>EUR</x:v>
      </x:c>
    </x:row>
    <x:row r="33">
      <x:c r="A33" s="23" t="str">
        <x:v>2024-02</x:v>
      </x:c>
      <x:c r="B33" s="23" t="str">
        <x:v>2024-02-29</x:v>
      </x:c>
      <x:c r="C33" s="23" t="str">
        <x:v>7000</x:v>
      </x:c>
      <x:c r="D33" s="23" t="str">
        <x:v>Gastos financieros</x:v>
      </x:c>
      <x:c r="E33" s="24" t="n">
        <x:v>-36000</x:v>
      </x:c>
      <x:c r="F33" s="23" t="str">
        <x:v>ERP simulado</x:v>
      </x:c>
      <x:c r="G33" s="23" t="str">
        <x:v>Actual</x:v>
      </x:c>
      <x:c r="H33" s="23" t="str">
        <x:v>EUR</x:v>
      </x:c>
    </x:row>
    <x:row r="34">
      <x:c r="A34" s="23" t="str">
        <x:v>2024-02</x:v>
      </x:c>
      <x:c r="B34" s="23" t="str">
        <x:v>2024-02-29</x:v>
      </x:c>
      <x:c r="C34" s="23" t="str">
        <x:v>7100</x:v>
      </x:c>
      <x:c r="D34" s="23" t="str">
        <x:v>Ingresos financieros</x:v>
      </x:c>
      <x:c r="E34" s="24" t="n">
        <x:v>2087</x:v>
      </x:c>
      <x:c r="F34" s="23" t="str">
        <x:v>ERP simulado</x:v>
      </x:c>
      <x:c r="G34" s="23" t="str">
        <x:v>Actual</x:v>
      </x:c>
      <x:c r="H34" s="23" t="str">
        <x:v>EUR</x:v>
      </x:c>
    </x:row>
    <x:row r="35">
      <x:c r="A35" s="23" t="str">
        <x:v>2024-02</x:v>
      </x:c>
      <x:c r="B35" s="23" t="str">
        <x:v>2024-02-29</x:v>
      </x:c>
      <x:c r="C35" s="23" t="str">
        <x:v>8000</x:v>
      </x:c>
      <x:c r="D35" s="23" t="str">
        <x:v>Impuesto sobre beneficios</x:v>
      </x:c>
      <x:c r="E35" s="24" t="n">
        <x:v>-75090</x:v>
      </x:c>
      <x:c r="F35" s="23" t="str">
        <x:v>ERP simulado</x:v>
      </x:c>
      <x:c r="G35" s="23" t="str">
        <x:v>Actual</x:v>
      </x:c>
      <x:c r="H35" s="23" t="str">
        <x:v>EUR</x:v>
      </x:c>
    </x:row>
    <x:row r="36">
      <x:c r="A36" s="23" t="str">
        <x:v>2024-03</x:v>
      </x:c>
      <x:c r="B36" s="23" t="str">
        <x:v>2024-03-31</x:v>
      </x:c>
      <x:c r="C36" s="23" t="str">
        <x:v>4000</x:v>
      </x:c>
      <x:c r="D36" s="23" t="str">
        <x:v>Ingresos por producto</x:v>
      </x:c>
      <x:c r="E36" s="24" t="n">
        <x:v>2070269</x:v>
      </x:c>
      <x:c r="F36" s="23" t="str">
        <x:v>ERP simulado</x:v>
      </x:c>
      <x:c r="G36" s="23" t="str">
        <x:v>Actual</x:v>
      </x:c>
      <x:c r="H36" s="23" t="str">
        <x:v>EUR</x:v>
      </x:c>
    </x:row>
    <x:row r="37">
      <x:c r="A37" s="23" t="str">
        <x:v>2024-03</x:v>
      </x:c>
      <x:c r="B37" s="23" t="str">
        <x:v>2024-03-31</x:v>
      </x:c>
      <x:c r="C37" s="23" t="str">
        <x:v>4010</x:v>
      </x:c>
      <x:c r="D37" s="23" t="str">
        <x:v>Ingresos por servicios</x:v>
      </x:c>
      <x:c r="E37" s="24" t="n">
        <x:v>864531</x:v>
      </x:c>
      <x:c r="F37" s="23" t="str">
        <x:v>ERP simulado</x:v>
      </x:c>
      <x:c r="G37" s="23" t="str">
        <x:v>Actual</x:v>
      </x:c>
      <x:c r="H37" s="23" t="str">
        <x:v>EUR</x:v>
      </x:c>
    </x:row>
    <x:row r="38">
      <x:c r="A38" s="23" t="str">
        <x:v>2024-03</x:v>
      </x:c>
      <x:c r="B38" s="23" t="str">
        <x:v>2024-03-31</x:v>
      </x:c>
      <x:c r="C38" s="23" t="str">
        <x:v>5000</x:v>
      </x:c>
      <x:c r="D38" s="23" t="str">
        <x:v>Materiales directos</x:v>
      </x:c>
      <x:c r="E38" s="24" t="n">
        <x:v>-1071202</x:v>
      </x:c>
      <x:c r="F38" s="23" t="str">
        <x:v>ERP simulado</x:v>
      </x:c>
      <x:c r="G38" s="23" t="str">
        <x:v>Actual</x:v>
      </x:c>
      <x:c r="H38" s="23" t="str">
        <x:v>EUR</x:v>
      </x:c>
    </x:row>
    <x:row r="39">
      <x:c r="A39" s="23" t="str">
        <x:v>2024-03</x:v>
      </x:c>
      <x:c r="B39" s="23" t="str">
        <x:v>2024-03-31</x:v>
      </x:c>
      <x:c r="C39" s="23" t="str">
        <x:v>5010</x:v>
      </x:c>
      <x:c r="D39" s="23" t="str">
        <x:v>Mano de obra directa</x:v>
      </x:c>
      <x:c r="E39" s="24" t="n">
        <x:v>-513590</x:v>
      </x:c>
      <x:c r="F39" s="23" t="str">
        <x:v>ERP simulado</x:v>
      </x:c>
      <x:c r="G39" s="23" t="str">
        <x:v>Actual</x:v>
      </x:c>
      <x:c r="H39" s="23" t="str">
        <x:v>EUR</x:v>
      </x:c>
    </x:row>
    <x:row r="40">
      <x:c r="A40" s="23" t="str">
        <x:v>2024-03</x:v>
      </x:c>
      <x:c r="B40" s="23" t="str">
        <x:v>2024-03-31</x:v>
      </x:c>
      <x:c r="C40" s="23" t="str">
        <x:v>5020</x:v>
      </x:c>
      <x:c r="D40" s="23" t="str">
        <x:v>Logística y subcontratación</x:v>
      </x:c>
      <x:c r="E40" s="24" t="n">
        <x:v>-181958</x:v>
      </x:c>
      <x:c r="F40" s="23" t="str">
        <x:v>ERP simulado</x:v>
      </x:c>
      <x:c r="G40" s="23" t="str">
        <x:v>Actual</x:v>
      </x:c>
      <x:c r="H40" s="23" t="str">
        <x:v>EUR</x:v>
      </x:c>
    </x:row>
    <x:row r="41">
      <x:c r="A41" s="23" t="str">
        <x:v>2024-03</x:v>
      </x:c>
      <x:c r="B41" s="23" t="str">
        <x:v>2024-03-31</x:v>
      </x:c>
      <x:c r="C41" s="23" t="str">
        <x:v>6000</x:v>
      </x:c>
      <x:c r="D41" s="23" t="str">
        <x:v>Gastos de personal</x:v>
      </x:c>
      <x:c r="E41" s="24" t="n">
        <x:v>-407219</x:v>
      </x:c>
      <x:c r="F41" s="23" t="str">
        <x:v>ERP simulado</x:v>
      </x:c>
      <x:c r="G41" s="23" t="str">
        <x:v>Actual</x:v>
      </x:c>
      <x:c r="H41" s="23" t="str">
        <x:v>EUR</x:v>
      </x:c>
    </x:row>
    <x:row r="42">
      <x:c r="A42" s="23" t="str">
        <x:v>2024-03</x:v>
      </x:c>
      <x:c r="B42" s="23" t="str">
        <x:v>2024-03-31</x:v>
      </x:c>
      <x:c r="C42" s="23" t="str">
        <x:v>6010</x:v>
      </x:c>
      <x:c r="D42" s="23" t="str">
        <x:v>Ventas y marketing</x:v>
      </x:c>
      <x:c r="E42" s="24" t="n">
        <x:v>-99783</x:v>
      </x:c>
      <x:c r="F42" s="23" t="str">
        <x:v>ERP simulado</x:v>
      </x:c>
      <x:c r="G42" s="23" t="str">
        <x:v>Actual</x:v>
      </x:c>
      <x:c r="H42" s="23" t="str">
        <x:v>EUR</x:v>
      </x:c>
    </x:row>
    <x:row r="43">
      <x:c r="A43" s="23" t="str">
        <x:v>2024-03</x:v>
      </x:c>
      <x:c r="B43" s="23" t="str">
        <x:v>2024-03-31</x:v>
      </x:c>
      <x:c r="C43" s="23" t="str">
        <x:v>6020</x:v>
      </x:c>
      <x:c r="D43" s="23" t="str">
        <x:v>IT y sistemas</x:v>
      </x:c>
      <x:c r="E43" s="24" t="n">
        <x:v>-52826</x:v>
      </x:c>
      <x:c r="F43" s="23" t="str">
        <x:v>ERP simulado</x:v>
      </x:c>
      <x:c r="G43" s="23" t="str">
        <x:v>Actual</x:v>
      </x:c>
      <x:c r="H43" s="23" t="str">
        <x:v>EUR</x:v>
      </x:c>
    </x:row>
    <x:row r="44">
      <x:c r="A44" s="23" t="str">
        <x:v>2024-03</x:v>
      </x:c>
      <x:c r="B44" s="23" t="str">
        <x:v>2024-03-31</x:v>
      </x:c>
      <x:c r="C44" s="23" t="str">
        <x:v>6030</x:v>
      </x:c>
      <x:c r="D44" s="23" t="str">
        <x:v>Alquileres e instalaciones</x:v>
      </x:c>
      <x:c r="E44" s="24" t="n">
        <x:v>-35218</x:v>
      </x:c>
      <x:c r="F44" s="23" t="str">
        <x:v>ERP simulado</x:v>
      </x:c>
      <x:c r="G44" s="23" t="str">
        <x:v>Actual</x:v>
      </x:c>
      <x:c r="H44" s="23" t="str">
        <x:v>EUR</x:v>
      </x:c>
    </x:row>
    <x:row r="45">
      <x:c r="A45" s="23" t="str">
        <x:v>2024-03</x:v>
      </x:c>
      <x:c r="B45" s="23" t="str">
        <x:v>2024-03-31</x:v>
      </x:c>
      <x:c r="C45" s="23" t="str">
        <x:v>6040</x:v>
      </x:c>
      <x:c r="D45" s="23" t="str">
        <x:v>Otros gastos operativos</x:v>
      </x:c>
      <x:c r="E45" s="24" t="n">
        <x:v>-70435</x:v>
      </x:c>
      <x:c r="F45" s="23" t="str">
        <x:v>ERP simulado</x:v>
      </x:c>
      <x:c r="G45" s="23" t="str">
        <x:v>Actual</x:v>
      </x:c>
      <x:c r="H45" s="23" t="str">
        <x:v>EUR</x:v>
      </x:c>
    </x:row>
    <x:row r="46">
      <x:c r="A46" s="23" t="str">
        <x:v>2024-03</x:v>
      </x:c>
      <x:c r="B46" s="23" t="str">
        <x:v>2024-03-31</x:v>
      </x:c>
      <x:c r="C46" s="23" t="str">
        <x:v>6100</x:v>
      </x:c>
      <x:c r="D46" s="23" t="str">
        <x:v>Depreciación</x:v>
      </x:c>
      <x:c r="E46" s="24" t="n">
        <x:v>-110000</x:v>
      </x:c>
      <x:c r="F46" s="23" t="str">
        <x:v>ERP simulado</x:v>
      </x:c>
      <x:c r="G46" s="23" t="str">
        <x:v>Actual</x:v>
      </x:c>
      <x:c r="H46" s="23" t="str">
        <x:v>EUR</x:v>
      </x:c>
    </x:row>
    <x:row r="47">
      <x:c r="A47" s="23" t="str">
        <x:v>2024-03</x:v>
      </x:c>
      <x:c r="B47" s="23" t="str">
        <x:v>2024-03-31</x:v>
      </x:c>
      <x:c r="C47" s="23" t="str">
        <x:v>6110</x:v>
      </x:c>
      <x:c r="D47" s="23" t="str">
        <x:v>Amortización</x:v>
      </x:c>
      <x:c r="E47" s="24" t="n">
        <x:v>-22700</x:v>
      </x:c>
      <x:c r="F47" s="23" t="str">
        <x:v>ERP simulado</x:v>
      </x:c>
      <x:c r="G47" s="23" t="str">
        <x:v>Actual</x:v>
      </x:c>
      <x:c r="H47" s="23" t="str">
        <x:v>EUR</x:v>
      </x:c>
    </x:row>
    <x:row r="48">
      <x:c r="A48" s="23" t="str">
        <x:v>2024-03</x:v>
      </x:c>
      <x:c r="B48" s="23" t="str">
        <x:v>2024-03-31</x:v>
      </x:c>
      <x:c r="C48" s="23" t="str">
        <x:v>6200</x:v>
      </x:c>
      <x:c r="D48" s="23" t="str">
        <x:v>Deterioros</x:v>
      </x:c>
      <x:c r="E48" s="24" t="n">
        <x:v>0</x:v>
      </x:c>
      <x:c r="F48" s="23" t="str">
        <x:v>ERP simulado</x:v>
      </x:c>
      <x:c r="G48" s="23" t="str">
        <x:v>Actual</x:v>
      </x:c>
      <x:c r="H48" s="23" t="str">
        <x:v>EUR</x:v>
      </x:c>
    </x:row>
    <x:row r="49">
      <x:c r="A49" s="23" t="str">
        <x:v>2024-03</x:v>
      </x:c>
      <x:c r="B49" s="23" t="str">
        <x:v>2024-03-31</x:v>
      </x:c>
      <x:c r="C49" s="23" t="str">
        <x:v>6300</x:v>
      </x:c>
      <x:c r="D49" s="23" t="str">
        <x:v>Resultado por venta de activos</x:v>
      </x:c>
      <x:c r="E49" s="24" t="n">
        <x:v>0</x:v>
      </x:c>
      <x:c r="F49" s="23" t="str">
        <x:v>ERP simulado</x:v>
      </x:c>
      <x:c r="G49" s="23" t="str">
        <x:v>Actual</x:v>
      </x:c>
      <x:c r="H49" s="23" t="str">
        <x:v>EUR</x:v>
      </x:c>
    </x:row>
    <x:row r="50">
      <x:c r="A50" s="23" t="str">
        <x:v>2024-03</x:v>
      </x:c>
      <x:c r="B50" s="23" t="str">
        <x:v>2024-03-31</x:v>
      </x:c>
      <x:c r="C50" s="23" t="str">
        <x:v>7000</x:v>
      </x:c>
      <x:c r="D50" s="23" t="str">
        <x:v>Gastos financieros</x:v>
      </x:c>
      <x:c r="E50" s="24" t="n">
        <x:v>-36000</x:v>
      </x:c>
      <x:c r="F50" s="23" t="str">
        <x:v>ERP simulado</x:v>
      </x:c>
      <x:c r="G50" s="23" t="str">
        <x:v>Actual</x:v>
      </x:c>
      <x:c r="H50" s="23" t="str">
        <x:v>EUR</x:v>
      </x:c>
    </x:row>
    <x:row r="51">
      <x:c r="A51" s="23" t="str">
        <x:v>2024-03</x:v>
      </x:c>
      <x:c r="B51" s="23" t="str">
        <x:v>2024-03-31</x:v>
      </x:c>
      <x:c r="C51" s="23" t="str">
        <x:v>7100</x:v>
      </x:c>
      <x:c r="D51" s="23" t="str">
        <x:v>Ingresos financieros</x:v>
      </x:c>
      <x:c r="E51" s="24" t="n">
        <x:v>1778</x:v>
      </x:c>
      <x:c r="F51" s="23" t="str">
        <x:v>ERP simulado</x:v>
      </x:c>
      <x:c r="G51" s="23" t="str">
        <x:v>Actual</x:v>
      </x:c>
      <x:c r="H51" s="23" t="str">
        <x:v>EUR</x:v>
      </x:c>
    </x:row>
    <x:row r="52">
      <x:c r="A52" s="23" t="str">
        <x:v>2024-03</x:v>
      </x:c>
      <x:c r="B52" s="23" t="str">
        <x:v>2024-03-31</x:v>
      </x:c>
      <x:c r="C52" s="23" t="str">
        <x:v>8000</x:v>
      </x:c>
      <x:c r="D52" s="23" t="str">
        <x:v>Impuesto sobre beneficios</x:v>
      </x:c>
      <x:c r="E52" s="24" t="n">
        <x:v>-83912</x:v>
      </x:c>
      <x:c r="F52" s="23" t="str">
        <x:v>ERP simulado</x:v>
      </x:c>
      <x:c r="G52" s="23" t="str">
        <x:v>Actual</x:v>
      </x:c>
      <x:c r="H52" s="23" t="str">
        <x:v>EUR</x:v>
      </x:c>
    </x:row>
    <x:row r="53">
      <x:c r="A53" s="23" t="str">
        <x:v>2024-04</x:v>
      </x:c>
      <x:c r="B53" s="23" t="str">
        <x:v>2024-04-30</x:v>
      </x:c>
      <x:c r="C53" s="23" t="str">
        <x:v>4000</x:v>
      </x:c>
      <x:c r="D53" s="23" t="str">
        <x:v>Ingresos por producto</x:v>
      </x:c>
      <x:c r="E53" s="24" t="n">
        <x:v>2039874</x:v>
      </x:c>
      <x:c r="F53" s="23" t="str">
        <x:v>ERP simulado</x:v>
      </x:c>
      <x:c r="G53" s="23" t="str">
        <x:v>Actual</x:v>
      </x:c>
      <x:c r="H53" s="23" t="str">
        <x:v>EUR</x:v>
      </x:c>
    </x:row>
    <x:row r="54">
      <x:c r="A54" s="23" t="str">
        <x:v>2024-04</x:v>
      </x:c>
      <x:c r="B54" s="23" t="str">
        <x:v>2024-04-30</x:v>
      </x:c>
      <x:c r="C54" s="23" t="str">
        <x:v>4010</x:v>
      </x:c>
      <x:c r="D54" s="23" t="str">
        <x:v>Ingresos por servicios</x:v>
      </x:c>
      <x:c r="E54" s="24" t="n">
        <x:v>853282</x:v>
      </x:c>
      <x:c r="F54" s="23" t="str">
        <x:v>ERP simulado</x:v>
      </x:c>
      <x:c r="G54" s="23" t="str">
        <x:v>Actual</x:v>
      </x:c>
      <x:c r="H54" s="23" t="str">
        <x:v>EUR</x:v>
      </x:c>
    </x:row>
    <x:row r="55">
      <x:c r="A55" s="23" t="str">
        <x:v>2024-04</x:v>
      </x:c>
      <x:c r="B55" s="23" t="str">
        <x:v>2024-04-30</x:v>
      </x:c>
      <x:c r="C55" s="23" t="str">
        <x:v>5000</x:v>
      </x:c>
      <x:c r="D55" s="23" t="str">
        <x:v>Materiales directos</x:v>
      </x:c>
      <x:c r="E55" s="24" t="n">
        <x:v>-1056002</x:v>
      </x:c>
      <x:c r="F55" s="23" t="str">
        <x:v>ERP simulado</x:v>
      </x:c>
      <x:c r="G55" s="23" t="str">
        <x:v>Actual</x:v>
      </x:c>
      <x:c r="H55" s="23" t="str">
        <x:v>EUR</x:v>
      </x:c>
    </x:row>
    <x:row r="56">
      <x:c r="A56" s="23" t="str">
        <x:v>2024-04</x:v>
      </x:c>
      <x:c r="B56" s="23" t="str">
        <x:v>2024-04-30</x:v>
      </x:c>
      <x:c r="C56" s="23" t="str">
        <x:v>5010</x:v>
      </x:c>
      <x:c r="D56" s="23" t="str">
        <x:v>Mano de obra directa</x:v>
      </x:c>
      <x:c r="E56" s="24" t="n">
        <x:v>-506302</x:v>
      </x:c>
      <x:c r="F56" s="23" t="str">
        <x:v>ERP simulado</x:v>
      </x:c>
      <x:c r="G56" s="23" t="str">
        <x:v>Actual</x:v>
      </x:c>
      <x:c r="H56" s="23" t="str">
        <x:v>EUR</x:v>
      </x:c>
    </x:row>
    <x:row r="57">
      <x:c r="A57" s="23" t="str">
        <x:v>2024-04</x:v>
      </x:c>
      <x:c r="B57" s="23" t="str">
        <x:v>2024-04-30</x:v>
      </x:c>
      <x:c r="C57" s="23" t="str">
        <x:v>5020</x:v>
      </x:c>
      <x:c r="D57" s="23" t="str">
        <x:v>Logística y subcontratación</x:v>
      </x:c>
      <x:c r="E57" s="24" t="n">
        <x:v>-179376</x:v>
      </x:c>
      <x:c r="F57" s="23" t="str">
        <x:v>ERP simulado</x:v>
      </x:c>
      <x:c r="G57" s="23" t="str">
        <x:v>Actual</x:v>
      </x:c>
      <x:c r="H57" s="23" t="str">
        <x:v>EUR</x:v>
      </x:c>
    </x:row>
    <x:row r="58">
      <x:c r="A58" s="23" t="str">
        <x:v>2024-04</x:v>
      </x:c>
      <x:c r="B58" s="23" t="str">
        <x:v>2024-04-30</x:v>
      </x:c>
      <x:c r="C58" s="23" t="str">
        <x:v>6000</x:v>
      </x:c>
      <x:c r="D58" s="23" t="str">
        <x:v>Gastos de personal</x:v>
      </x:c>
      <x:c r="E58" s="24" t="n">
        <x:v>-400596</x:v>
      </x:c>
      <x:c r="F58" s="23" t="str">
        <x:v>ERP simulado</x:v>
      </x:c>
      <x:c r="G58" s="23" t="str">
        <x:v>Actual</x:v>
      </x:c>
      <x:c r="H58" s="23" t="str">
        <x:v>EUR</x:v>
      </x:c>
    </x:row>
    <x:row r="59">
      <x:c r="A59" s="23" t="str">
        <x:v>2024-04</x:v>
      </x:c>
      <x:c r="B59" s="23" t="str">
        <x:v>2024-04-30</x:v>
      </x:c>
      <x:c r="C59" s="23" t="str">
        <x:v>6010</x:v>
      </x:c>
      <x:c r="D59" s="23" t="str">
        <x:v>Ventas y marketing</x:v>
      </x:c>
      <x:c r="E59" s="24" t="n">
        <x:v>-98367</x:v>
      </x:c>
      <x:c r="F59" s="23" t="str">
        <x:v>ERP simulado</x:v>
      </x:c>
      <x:c r="G59" s="23" t="str">
        <x:v>Actual</x:v>
      </x:c>
      <x:c r="H59" s="23" t="str">
        <x:v>EUR</x:v>
      </x:c>
    </x:row>
    <x:row r="60">
      <x:c r="A60" s="23" t="str">
        <x:v>2024-04</x:v>
      </x:c>
      <x:c r="B60" s="23" t="str">
        <x:v>2024-04-30</x:v>
      </x:c>
      <x:c r="C60" s="23" t="str">
        <x:v>6020</x:v>
      </x:c>
      <x:c r="D60" s="23" t="str">
        <x:v>IT y sistemas</x:v>
      </x:c>
      <x:c r="E60" s="24" t="n">
        <x:v>-52077</x:v>
      </x:c>
      <x:c r="F60" s="23" t="str">
        <x:v>ERP simulado</x:v>
      </x:c>
      <x:c r="G60" s="23" t="str">
        <x:v>Actual</x:v>
      </x:c>
      <x:c r="H60" s="23" t="str">
        <x:v>EUR</x:v>
      </x:c>
    </x:row>
    <x:row r="61">
      <x:c r="A61" s="23" t="str">
        <x:v>2024-04</x:v>
      </x:c>
      <x:c r="B61" s="23" t="str">
        <x:v>2024-04-30</x:v>
      </x:c>
      <x:c r="C61" s="23" t="str">
        <x:v>6030</x:v>
      </x:c>
      <x:c r="D61" s="23" t="str">
        <x:v>Alquileres e instalaciones</x:v>
      </x:c>
      <x:c r="E61" s="24" t="n">
        <x:v>-34718</x:v>
      </x:c>
      <x:c r="F61" s="23" t="str">
        <x:v>ERP simulado</x:v>
      </x:c>
      <x:c r="G61" s="23" t="str">
        <x:v>Actual</x:v>
      </x:c>
      <x:c r="H61" s="23" t="str">
        <x:v>EUR</x:v>
      </x:c>
    </x:row>
    <x:row r="62">
      <x:c r="A62" s="23" t="str">
        <x:v>2024-04</x:v>
      </x:c>
      <x:c r="B62" s="23" t="str">
        <x:v>2024-04-30</x:v>
      </x:c>
      <x:c r="C62" s="23" t="str">
        <x:v>6040</x:v>
      </x:c>
      <x:c r="D62" s="23" t="str">
        <x:v>Otros gastos operativos</x:v>
      </x:c>
      <x:c r="E62" s="24" t="n">
        <x:v>-69436</x:v>
      </x:c>
      <x:c r="F62" s="23" t="str">
        <x:v>ERP simulado</x:v>
      </x:c>
      <x:c r="G62" s="23" t="str">
        <x:v>Actual</x:v>
      </x:c>
      <x:c r="H62" s="23" t="str">
        <x:v>EUR</x:v>
      </x:c>
    </x:row>
    <x:row r="63">
      <x:c r="A63" s="23" t="str">
        <x:v>2024-04</x:v>
      </x:c>
      <x:c r="B63" s="23" t="str">
        <x:v>2024-04-30</x:v>
      </x:c>
      <x:c r="C63" s="23" t="str">
        <x:v>6100</x:v>
      </x:c>
      <x:c r="D63" s="23" t="str">
        <x:v>Depreciación</x:v>
      </x:c>
      <x:c r="E63" s="24" t="n">
        <x:v>-112500</x:v>
      </x:c>
      <x:c r="F63" s="23" t="str">
        <x:v>ERP simulado</x:v>
      </x:c>
      <x:c r="G63" s="23" t="str">
        <x:v>Actual</x:v>
      </x:c>
      <x:c r="H63" s="23" t="str">
        <x:v>EUR</x:v>
      </x:c>
    </x:row>
    <x:row r="64">
      <x:c r="A64" s="23" t="str">
        <x:v>2024-04</x:v>
      </x:c>
      <x:c r="B64" s="23" t="str">
        <x:v>2024-04-30</x:v>
      </x:c>
      <x:c r="C64" s="23" t="str">
        <x:v>6110</x:v>
      </x:c>
      <x:c r="D64" s="23" t="str">
        <x:v>Amortización</x:v>
      </x:c>
      <x:c r="E64" s="24" t="n">
        <x:v>-23050</x:v>
      </x:c>
      <x:c r="F64" s="23" t="str">
        <x:v>ERP simulado</x:v>
      </x:c>
      <x:c r="G64" s="23" t="str">
        <x:v>Actual</x:v>
      </x:c>
      <x:c r="H64" s="23" t="str">
        <x:v>EUR</x:v>
      </x:c>
    </x:row>
    <x:row r="65">
      <x:c r="A65" s="23" t="str">
        <x:v>2024-04</x:v>
      </x:c>
      <x:c r="B65" s="23" t="str">
        <x:v>2024-04-30</x:v>
      </x:c>
      <x:c r="C65" s="23" t="str">
        <x:v>6200</x:v>
      </x:c>
      <x:c r="D65" s="23" t="str">
        <x:v>Deterioros</x:v>
      </x:c>
      <x:c r="E65" s="24" t="n">
        <x:v>0</x:v>
      </x:c>
      <x:c r="F65" s="23" t="str">
        <x:v>ERP simulado</x:v>
      </x:c>
      <x:c r="G65" s="23" t="str">
        <x:v>Actual</x:v>
      </x:c>
      <x:c r="H65" s="23" t="str">
        <x:v>EUR</x:v>
      </x:c>
    </x:row>
    <x:row r="66">
      <x:c r="A66" s="23" t="str">
        <x:v>2024-04</x:v>
      </x:c>
      <x:c r="B66" s="23" t="str">
        <x:v>2024-04-30</x:v>
      </x:c>
      <x:c r="C66" s="23" t="str">
        <x:v>6300</x:v>
      </x:c>
      <x:c r="D66" s="23" t="str">
        <x:v>Resultado por venta de activos</x:v>
      </x:c>
      <x:c r="E66" s="24" t="n">
        <x:v>0</x:v>
      </x:c>
      <x:c r="F66" s="23" t="str">
        <x:v>ERP simulado</x:v>
      </x:c>
      <x:c r="G66" s="23" t="str">
        <x:v>Actual</x:v>
      </x:c>
      <x:c r="H66" s="23" t="str">
        <x:v>EUR</x:v>
      </x:c>
    </x:row>
    <x:row r="67">
      <x:c r="A67" s="23" t="str">
        <x:v>2024-04</x:v>
      </x:c>
      <x:c r="B67" s="23" t="str">
        <x:v>2024-04-30</x:v>
      </x:c>
      <x:c r="C67" s="23" t="str">
        <x:v>7000</x:v>
      </x:c>
      <x:c r="D67" s="23" t="str">
        <x:v>Gastos financieros</x:v>
      </x:c>
      <x:c r="E67" s="24" t="n">
        <x:v>-36000</x:v>
      </x:c>
      <x:c r="F67" s="23" t="str">
        <x:v>ERP simulado</x:v>
      </x:c>
      <x:c r="G67" s="23" t="str">
        <x:v>Actual</x:v>
      </x:c>
      <x:c r="H67" s="23" t="str">
        <x:v>EUR</x:v>
      </x:c>
    </x:row>
    <x:row r="68">
      <x:c r="A68" s="23" t="str">
        <x:v>2024-04</x:v>
      </x:c>
      <x:c r="B68" s="23" t="str">
        <x:v>2024-04-30</x:v>
      </x:c>
      <x:c r="C68" s="23" t="str">
        <x:v>7100</x:v>
      </x:c>
      <x:c r="D68" s="23" t="str">
        <x:v>Ingresos financieros</x:v>
      </x:c>
      <x:c r="E68" s="24" t="n">
        <x:v>1766</x:v>
      </x:c>
      <x:c r="F68" s="23" t="str">
        <x:v>ERP simulado</x:v>
      </x:c>
      <x:c r="G68" s="23" t="str">
        <x:v>Actual</x:v>
      </x:c>
      <x:c r="H68" s="23" t="str">
        <x:v>EUR</x:v>
      </x:c>
    </x:row>
    <x:row r="69">
      <x:c r="A69" s="23" t="str">
        <x:v>2024-04</x:v>
      </x:c>
      <x:c r="B69" s="23" t="str">
        <x:v>2024-04-30</x:v>
      </x:c>
      <x:c r="C69" s="23" t="str">
        <x:v>8000</x:v>
      </x:c>
      <x:c r="D69" s="23" t="str">
        <x:v>Impuesto sobre beneficios</x:v>
      </x:c>
      <x:c r="E69" s="24" t="n">
        <x:v>-81625</x:v>
      </x:c>
      <x:c r="F69" s="23" t="str">
        <x:v>ERP simulado</x:v>
      </x:c>
      <x:c r="G69" s="23" t="str">
        <x:v>Actual</x:v>
      </x:c>
      <x:c r="H69" s="23" t="str">
        <x:v>EUR</x:v>
      </x:c>
    </x:row>
    <x:row r="70">
      <x:c r="A70" s="23" t="str">
        <x:v>2024-05</x:v>
      </x:c>
      <x:c r="B70" s="23" t="str">
        <x:v>2024-05-31</x:v>
      </x:c>
      <x:c r="C70" s="23" t="str">
        <x:v>4000</x:v>
      </x:c>
      <x:c r="D70" s="23" t="str">
        <x:v>Ingresos por producto</x:v>
      </x:c>
      <x:c r="E70" s="24" t="n">
        <x:v>2139560</x:v>
      </x:c>
      <x:c r="F70" s="23" t="str">
        <x:v>ERP simulado</x:v>
      </x:c>
      <x:c r="G70" s="23" t="str">
        <x:v>Actual</x:v>
      </x:c>
      <x:c r="H70" s="23" t="str">
        <x:v>EUR</x:v>
      </x:c>
    </x:row>
    <x:row r="71">
      <x:c r="A71" s="23" t="str">
        <x:v>2024-05</x:v>
      </x:c>
      <x:c r="B71" s="23" t="str">
        <x:v>2024-05-31</x:v>
      </x:c>
      <x:c r="C71" s="23" t="str">
        <x:v>4010</x:v>
      </x:c>
      <x:c r="D71" s="23" t="str">
        <x:v>Ingresos por servicios</x:v>
      </x:c>
      <x:c r="E71" s="24" t="n">
        <x:v>889432</x:v>
      </x:c>
      <x:c r="F71" s="23" t="str">
        <x:v>ERP simulado</x:v>
      </x:c>
      <x:c r="G71" s="23" t="str">
        <x:v>Actual</x:v>
      </x:c>
      <x:c r="H71" s="23" t="str">
        <x:v>EUR</x:v>
      </x:c>
    </x:row>
    <x:row r="72">
      <x:c r="A72" s="23" t="str">
        <x:v>2024-05</x:v>
      </x:c>
      <x:c r="B72" s="23" t="str">
        <x:v>2024-05-31</x:v>
      </x:c>
      <x:c r="C72" s="23" t="str">
        <x:v>5000</x:v>
      </x:c>
      <x:c r="D72" s="23" t="str">
        <x:v>Materiales directos</x:v>
      </x:c>
      <x:c r="E72" s="24" t="n">
        <x:v>-1105582</x:v>
      </x:c>
      <x:c r="F72" s="23" t="str">
        <x:v>ERP simulado</x:v>
      </x:c>
      <x:c r="G72" s="23" t="str">
        <x:v>Actual</x:v>
      </x:c>
      <x:c r="H72" s="23" t="str">
        <x:v>EUR</x:v>
      </x:c>
    </x:row>
    <x:row r="73">
      <x:c r="A73" s="23" t="str">
        <x:v>2024-05</x:v>
      </x:c>
      <x:c r="B73" s="23" t="str">
        <x:v>2024-05-31</x:v>
      </x:c>
      <x:c r="C73" s="23" t="str">
        <x:v>5010</x:v>
      </x:c>
      <x:c r="D73" s="23" t="str">
        <x:v>Mano de obra directa</x:v>
      </x:c>
      <x:c r="E73" s="24" t="n">
        <x:v>-530074</x:v>
      </x:c>
      <x:c r="F73" s="23" t="str">
        <x:v>ERP simulado</x:v>
      </x:c>
      <x:c r="G73" s="23" t="str">
        <x:v>Actual</x:v>
      </x:c>
      <x:c r="H73" s="23" t="str">
        <x:v>EUR</x:v>
      </x:c>
    </x:row>
    <x:row r="74">
      <x:c r="A74" s="23" t="str">
        <x:v>2024-05</x:v>
      </x:c>
      <x:c r="B74" s="23" t="str">
        <x:v>2024-05-31</x:v>
      </x:c>
      <x:c r="C74" s="23" t="str">
        <x:v>5020</x:v>
      </x:c>
      <x:c r="D74" s="23" t="str">
        <x:v>Logística y subcontratación</x:v>
      </x:c>
      <x:c r="E74" s="24" t="n">
        <x:v>-187798</x:v>
      </x:c>
      <x:c r="F74" s="23" t="str">
        <x:v>ERP simulado</x:v>
      </x:c>
      <x:c r="G74" s="23" t="str">
        <x:v>Actual</x:v>
      </x:c>
      <x:c r="H74" s="23" t="str">
        <x:v>EUR</x:v>
      </x:c>
    </x:row>
    <x:row r="75">
      <x:c r="A75" s="23" t="str">
        <x:v>2024-05</x:v>
      </x:c>
      <x:c r="B75" s="23" t="str">
        <x:v>2024-05-31</x:v>
      </x:c>
      <x:c r="C75" s="23" t="str">
        <x:v>6000</x:v>
      </x:c>
      <x:c r="D75" s="23" t="str">
        <x:v>Gastos de personal</x:v>
      </x:c>
      <x:c r="E75" s="24" t="n">
        <x:v>-418245</x:v>
      </x:c>
      <x:c r="F75" s="23" t="str">
        <x:v>ERP simulado</x:v>
      </x:c>
      <x:c r="G75" s="23" t="str">
        <x:v>Actual</x:v>
      </x:c>
      <x:c r="H75" s="23" t="str">
        <x:v>EUR</x:v>
      </x:c>
    </x:row>
    <x:row r="76">
      <x:c r="A76" s="23" t="str">
        <x:v>2024-05</x:v>
      </x:c>
      <x:c r="B76" s="23" t="str">
        <x:v>2024-05-31</x:v>
      </x:c>
      <x:c r="C76" s="23" t="str">
        <x:v>6010</x:v>
      </x:c>
      <x:c r="D76" s="23" t="str">
        <x:v>Ventas y marketing</x:v>
      </x:c>
      <x:c r="E76" s="24" t="n">
        <x:v>-102986</x:v>
      </x:c>
      <x:c r="F76" s="23" t="str">
        <x:v>ERP simulado</x:v>
      </x:c>
      <x:c r="G76" s="23" t="str">
        <x:v>Actual</x:v>
      </x:c>
      <x:c r="H76" s="23" t="str">
        <x:v>EUR</x:v>
      </x:c>
    </x:row>
    <x:row r="77">
      <x:c r="A77" s="23" t="str">
        <x:v>2024-05</x:v>
      </x:c>
      <x:c r="B77" s="23" t="str">
        <x:v>2024-05-31</x:v>
      </x:c>
      <x:c r="C77" s="23" t="str">
        <x:v>6020</x:v>
      </x:c>
      <x:c r="D77" s="23" t="str">
        <x:v>IT y sistemas</x:v>
      </x:c>
      <x:c r="E77" s="24" t="n">
        <x:v>-54522</x:v>
      </x:c>
      <x:c r="F77" s="23" t="str">
        <x:v>ERP simulado</x:v>
      </x:c>
      <x:c r="G77" s="23" t="str">
        <x:v>Actual</x:v>
      </x:c>
      <x:c r="H77" s="23" t="str">
        <x:v>EUR</x:v>
      </x:c>
    </x:row>
    <x:row r="78">
      <x:c r="A78" s="23" t="str">
        <x:v>2024-05</x:v>
      </x:c>
      <x:c r="B78" s="23" t="str">
        <x:v>2024-05-31</x:v>
      </x:c>
      <x:c r="C78" s="23" t="str">
        <x:v>6030</x:v>
      </x:c>
      <x:c r="D78" s="23" t="str">
        <x:v>Alquileres e instalaciones</x:v>
      </x:c>
      <x:c r="E78" s="24" t="n">
        <x:v>-36348</x:v>
      </x:c>
      <x:c r="F78" s="23" t="str">
        <x:v>ERP simulado</x:v>
      </x:c>
      <x:c r="G78" s="23" t="str">
        <x:v>Actual</x:v>
      </x:c>
      <x:c r="H78" s="23" t="str">
        <x:v>EUR</x:v>
      </x:c>
    </x:row>
    <x:row r="79">
      <x:c r="A79" s="23" t="str">
        <x:v>2024-05</x:v>
      </x:c>
      <x:c r="B79" s="23" t="str">
        <x:v>2024-05-31</x:v>
      </x:c>
      <x:c r="C79" s="23" t="str">
        <x:v>6040</x:v>
      </x:c>
      <x:c r="D79" s="23" t="str">
        <x:v>Otros gastos operativos</x:v>
      </x:c>
      <x:c r="E79" s="24" t="n">
        <x:v>-72696</x:v>
      </x:c>
      <x:c r="F79" s="23" t="str">
        <x:v>ERP simulado</x:v>
      </x:c>
      <x:c r="G79" s="23" t="str">
        <x:v>Actual</x:v>
      </x:c>
      <x:c r="H79" s="23" t="str">
        <x:v>EUR</x:v>
      </x:c>
    </x:row>
    <x:row r="80">
      <x:c r="A80" s="23" t="str">
        <x:v>2024-05</x:v>
      </x:c>
      <x:c r="B80" s="23" t="str">
        <x:v>2024-05-31</x:v>
      </x:c>
      <x:c r="C80" s="23" t="str">
        <x:v>6100</x:v>
      </x:c>
      <x:c r="D80" s="23" t="str">
        <x:v>Depreciación</x:v>
      </x:c>
      <x:c r="E80" s="24" t="n">
        <x:v>-115000</x:v>
      </x:c>
      <x:c r="F80" s="23" t="str">
        <x:v>ERP simulado</x:v>
      </x:c>
      <x:c r="G80" s="23" t="str">
        <x:v>Actual</x:v>
      </x:c>
      <x:c r="H80" s="23" t="str">
        <x:v>EUR</x:v>
      </x:c>
    </x:row>
    <x:row r="81">
      <x:c r="A81" s="23" t="str">
        <x:v>2024-05</x:v>
      </x:c>
      <x:c r="B81" s="23" t="str">
        <x:v>2024-05-31</x:v>
      </x:c>
      <x:c r="C81" s="23" t="str">
        <x:v>6110</x:v>
      </x:c>
      <x:c r="D81" s="23" t="str">
        <x:v>Amortización</x:v>
      </x:c>
      <x:c r="E81" s="24" t="n">
        <x:v>-23400</x:v>
      </x:c>
      <x:c r="F81" s="23" t="str">
        <x:v>ERP simulado</x:v>
      </x:c>
      <x:c r="G81" s="23" t="str">
        <x:v>Actual</x:v>
      </x:c>
      <x:c r="H81" s="23" t="str">
        <x:v>EUR</x:v>
      </x:c>
    </x:row>
    <x:row r="82">
      <x:c r="A82" s="23" t="str">
        <x:v>2024-05</x:v>
      </x:c>
      <x:c r="B82" s="23" t="str">
        <x:v>2024-05-31</x:v>
      </x:c>
      <x:c r="C82" s="23" t="str">
        <x:v>6200</x:v>
      </x:c>
      <x:c r="D82" s="23" t="str">
        <x:v>Deterioros</x:v>
      </x:c>
      <x:c r="E82" s="24" t="n">
        <x:v>0</x:v>
      </x:c>
      <x:c r="F82" s="23" t="str">
        <x:v>ERP simulado</x:v>
      </x:c>
      <x:c r="G82" s="23" t="str">
        <x:v>Actual</x:v>
      </x:c>
      <x:c r="H82" s="23" t="str">
        <x:v>EUR</x:v>
      </x:c>
    </x:row>
    <x:row r="83">
      <x:c r="A83" s="23" t="str">
        <x:v>2024-05</x:v>
      </x:c>
      <x:c r="B83" s="23" t="str">
        <x:v>2024-05-31</x:v>
      </x:c>
      <x:c r="C83" s="23" t="str">
        <x:v>6300</x:v>
      </x:c>
      <x:c r="D83" s="23" t="str">
        <x:v>Resultado por venta de activos</x:v>
      </x:c>
      <x:c r="E83" s="24" t="n">
        <x:v>0</x:v>
      </x:c>
      <x:c r="F83" s="23" t="str">
        <x:v>ERP simulado</x:v>
      </x:c>
      <x:c r="G83" s="23" t="str">
        <x:v>Actual</x:v>
      </x:c>
      <x:c r="H83" s="23" t="str">
        <x:v>EUR</x:v>
      </x:c>
    </x:row>
    <x:row r="84">
      <x:c r="A84" s="23" t="str">
        <x:v>2024-05</x:v>
      </x:c>
      <x:c r="B84" s="23" t="str">
        <x:v>2024-05-31</x:v>
      </x:c>
      <x:c r="C84" s="23" t="str">
        <x:v>7000</x:v>
      </x:c>
      <x:c r="D84" s="23" t="str">
        <x:v>Gastos financieros</x:v>
      </x:c>
      <x:c r="E84" s="24" t="n">
        <x:v>-36000</x:v>
      </x:c>
      <x:c r="F84" s="23" t="str">
        <x:v>ERP simulado</x:v>
      </x:c>
      <x:c r="G84" s="23" t="str">
        <x:v>Actual</x:v>
      </x:c>
      <x:c r="H84" s="23" t="str">
        <x:v>EUR</x:v>
      </x:c>
    </x:row>
    <x:row r="85">
      <x:c r="A85" s="23" t="str">
        <x:v>2024-05</x:v>
      </x:c>
      <x:c r="B85" s="23" t="str">
        <x:v>2024-05-31</x:v>
      </x:c>
      <x:c r="C85" s="23" t="str">
        <x:v>7100</x:v>
      </x:c>
      <x:c r="D85" s="23" t="str">
        <x:v>Ingresos financieros</x:v>
      </x:c>
      <x:c r="E85" s="24" t="n">
        <x:v>1818</x:v>
      </x:c>
      <x:c r="F85" s="23" t="str">
        <x:v>ERP simulado</x:v>
      </x:c>
      <x:c r="G85" s="23" t="str">
        <x:v>Actual</x:v>
      </x:c>
      <x:c r="H85" s="23" t="str">
        <x:v>EUR</x:v>
      </x:c>
    </x:row>
    <x:row r="86">
      <x:c r="A86" s="23" t="str">
        <x:v>2024-05</x:v>
      </x:c>
      <x:c r="B86" s="23" t="str">
        <x:v>2024-05-31</x:v>
      </x:c>
      <x:c r="C86" s="23" t="str">
        <x:v>8000</x:v>
      </x:c>
      <x:c r="D86" s="23" t="str">
        <x:v>Impuesto sobre beneficios</x:v>
      </x:c>
      <x:c r="E86" s="24" t="n">
        <x:v>-87040</x:v>
      </x:c>
      <x:c r="F86" s="23" t="str">
        <x:v>ERP simulado</x:v>
      </x:c>
      <x:c r="G86" s="23" t="str">
        <x:v>Actual</x:v>
      </x:c>
      <x:c r="H86" s="23" t="str">
        <x:v>EUR</x:v>
      </x:c>
    </x:row>
    <x:row r="87">
      <x:c r="A87" s="23" t="str">
        <x:v>2024-06</x:v>
      </x:c>
      <x:c r="B87" s="23" t="str">
        <x:v>2024-06-30</x:v>
      </x:c>
      <x:c r="C87" s="23" t="str">
        <x:v>4000</x:v>
      </x:c>
      <x:c r="D87" s="23" t="str">
        <x:v>Ingresos por producto</x:v>
      </x:c>
      <x:c r="E87" s="24" t="n">
        <x:v>2202972</x:v>
      </x:c>
      <x:c r="F87" s="23" t="str">
        <x:v>ERP simulado</x:v>
      </x:c>
      <x:c r="G87" s="23" t="str">
        <x:v>Actual</x:v>
      </x:c>
      <x:c r="H87" s="23" t="str">
        <x:v>EUR</x:v>
      </x:c>
    </x:row>
    <x:row r="88">
      <x:c r="A88" s="23" t="str">
        <x:v>2024-06</x:v>
      </x:c>
      <x:c r="B88" s="23" t="str">
        <x:v>2024-06-30</x:v>
      </x:c>
      <x:c r="C88" s="23" t="str">
        <x:v>4010</x:v>
      </x:c>
      <x:c r="D88" s="23" t="str">
        <x:v>Ingresos por servicios</x:v>
      </x:c>
      <x:c r="E88" s="24" t="n">
        <x:v>903508</x:v>
      </x:c>
      <x:c r="F88" s="23" t="str">
        <x:v>ERP simulado</x:v>
      </x:c>
      <x:c r="G88" s="23" t="str">
        <x:v>Actual</x:v>
      </x:c>
      <x:c r="H88" s="23" t="str">
        <x:v>EUR</x:v>
      </x:c>
    </x:row>
    <x:row r="89">
      <x:c r="A89" s="23" t="str">
        <x:v>2024-06</x:v>
      </x:c>
      <x:c r="B89" s="23" t="str">
        <x:v>2024-06-30</x:v>
      </x:c>
      <x:c r="C89" s="23" t="str">
        <x:v>5000</x:v>
      </x:c>
      <x:c r="D89" s="23" t="str">
        <x:v>Materiales directos</x:v>
      </x:c>
      <x:c r="E89" s="24" t="n">
        <x:v>-1133865</x:v>
      </x:c>
      <x:c r="F89" s="23" t="str">
        <x:v>ERP simulado</x:v>
      </x:c>
      <x:c r="G89" s="23" t="str">
        <x:v>Actual</x:v>
      </x:c>
      <x:c r="H89" s="23" t="str">
        <x:v>EUR</x:v>
      </x:c>
    </x:row>
    <x:row r="90">
      <x:c r="A90" s="23" t="str">
        <x:v>2024-06</x:v>
      </x:c>
      <x:c r="B90" s="23" t="str">
        <x:v>2024-06-30</x:v>
      </x:c>
      <x:c r="C90" s="23" t="str">
        <x:v>5010</x:v>
      </x:c>
      <x:c r="D90" s="23" t="str">
        <x:v>Mano de obra directa</x:v>
      </x:c>
      <x:c r="E90" s="24" t="n">
        <x:v>-543634</x:v>
      </x:c>
      <x:c r="F90" s="23" t="str">
        <x:v>ERP simulado</x:v>
      </x:c>
      <x:c r="G90" s="23" t="str">
        <x:v>Actual</x:v>
      </x:c>
      <x:c r="H90" s="23" t="str">
        <x:v>EUR</x:v>
      </x:c>
    </x:row>
    <x:row r="91">
      <x:c r="A91" s="23" t="str">
        <x:v>2024-06</x:v>
      </x:c>
      <x:c r="B91" s="23" t="str">
        <x:v>2024-06-30</x:v>
      </x:c>
      <x:c r="C91" s="23" t="str">
        <x:v>5020</x:v>
      </x:c>
      <x:c r="D91" s="23" t="str">
        <x:v>Logística y subcontratación</x:v>
      </x:c>
      <x:c r="E91" s="24" t="n">
        <x:v>-192602</x:v>
      </x:c>
      <x:c r="F91" s="23" t="str">
        <x:v>ERP simulado</x:v>
      </x:c>
      <x:c r="G91" s="23" t="str">
        <x:v>Actual</x:v>
      </x:c>
      <x:c r="H91" s="23" t="str">
        <x:v>EUR</x:v>
      </x:c>
    </x:row>
    <x:row r="92">
      <x:c r="A92" s="23" t="str">
        <x:v>2024-06</x:v>
      </x:c>
      <x:c r="B92" s="23" t="str">
        <x:v>2024-06-30</x:v>
      </x:c>
      <x:c r="C92" s="23" t="str">
        <x:v>6000</x:v>
      </x:c>
      <x:c r="D92" s="23" t="str">
        <x:v>Gastos de personal</x:v>
      </x:c>
      <x:c r="E92" s="24" t="n">
        <x:v>-427547</x:v>
      </x:c>
      <x:c r="F92" s="23" t="str">
        <x:v>ERP simulado</x:v>
      </x:c>
      <x:c r="G92" s="23" t="str">
        <x:v>Actual</x:v>
      </x:c>
      <x:c r="H92" s="23" t="str">
        <x:v>EUR</x:v>
      </x:c>
    </x:row>
    <x:row r="93">
      <x:c r="A93" s="23" t="str">
        <x:v>2024-06</x:v>
      </x:c>
      <x:c r="B93" s="23" t="str">
        <x:v>2024-06-30</x:v>
      </x:c>
      <x:c r="C93" s="23" t="str">
        <x:v>6010</x:v>
      </x:c>
      <x:c r="D93" s="23" t="str">
        <x:v>Ventas y marketing</x:v>
      </x:c>
      <x:c r="E93" s="24" t="n">
        <x:v>-105620</x:v>
      </x:c>
      <x:c r="F93" s="23" t="str">
        <x:v>ERP simulado</x:v>
      </x:c>
      <x:c r="G93" s="23" t="str">
        <x:v>Actual</x:v>
      </x:c>
      <x:c r="H93" s="23" t="str">
        <x:v>EUR</x:v>
      </x:c>
    </x:row>
    <x:row r="94">
      <x:c r="A94" s="23" t="str">
        <x:v>2024-06</x:v>
      </x:c>
      <x:c r="B94" s="23" t="str">
        <x:v>2024-06-30</x:v>
      </x:c>
      <x:c r="C94" s="23" t="str">
        <x:v>6020</x:v>
      </x:c>
      <x:c r="D94" s="23" t="str">
        <x:v>IT y sistemas</x:v>
      </x:c>
      <x:c r="E94" s="24" t="n">
        <x:v>-55917</x:v>
      </x:c>
      <x:c r="F94" s="23" t="str">
        <x:v>ERP simulado</x:v>
      </x:c>
      <x:c r="G94" s="23" t="str">
        <x:v>Actual</x:v>
      </x:c>
      <x:c r="H94" s="23" t="str">
        <x:v>EUR</x:v>
      </x:c>
    </x:row>
    <x:row r="95">
      <x:c r="A95" s="23" t="str">
        <x:v>2024-06</x:v>
      </x:c>
      <x:c r="B95" s="23" t="str">
        <x:v>2024-06-30</x:v>
      </x:c>
      <x:c r="C95" s="23" t="str">
        <x:v>6030</x:v>
      </x:c>
      <x:c r="D95" s="23" t="str">
        <x:v>Alquileres e instalaciones</x:v>
      </x:c>
      <x:c r="E95" s="24" t="n">
        <x:v>-37278</x:v>
      </x:c>
      <x:c r="F95" s="23" t="str">
        <x:v>ERP simulado</x:v>
      </x:c>
      <x:c r="G95" s="23" t="str">
        <x:v>Actual</x:v>
      </x:c>
      <x:c r="H95" s="23" t="str">
        <x:v>EUR</x:v>
      </x:c>
    </x:row>
    <x:row r="96">
      <x:c r="A96" s="23" t="str">
        <x:v>2024-06</x:v>
      </x:c>
      <x:c r="B96" s="23" t="str">
        <x:v>2024-06-30</x:v>
      </x:c>
      <x:c r="C96" s="23" t="str">
        <x:v>6040</x:v>
      </x:c>
      <x:c r="D96" s="23" t="str">
        <x:v>Otros gastos operativos</x:v>
      </x:c>
      <x:c r="E96" s="24" t="n">
        <x:v>-74556</x:v>
      </x:c>
      <x:c r="F96" s="23" t="str">
        <x:v>ERP simulado</x:v>
      </x:c>
      <x:c r="G96" s="23" t="str">
        <x:v>Actual</x:v>
      </x:c>
      <x:c r="H96" s="23" t="str">
        <x:v>EUR</x:v>
      </x:c>
    </x:row>
    <x:row r="97">
      <x:c r="A97" s="23" t="str">
        <x:v>2024-06</x:v>
      </x:c>
      <x:c r="B97" s="23" t="str">
        <x:v>2024-06-30</x:v>
      </x:c>
      <x:c r="C97" s="23" t="str">
        <x:v>6100</x:v>
      </x:c>
      <x:c r="D97" s="23" t="str">
        <x:v>Depreciación</x:v>
      </x:c>
      <x:c r="E97" s="24" t="n">
        <x:v>-117500</x:v>
      </x:c>
      <x:c r="F97" s="23" t="str">
        <x:v>ERP simulado</x:v>
      </x:c>
      <x:c r="G97" s="23" t="str">
        <x:v>Actual</x:v>
      </x:c>
      <x:c r="H97" s="23" t="str">
        <x:v>EUR</x:v>
      </x:c>
    </x:row>
    <x:row r="98">
      <x:c r="A98" s="23" t="str">
        <x:v>2024-06</x:v>
      </x:c>
      <x:c r="B98" s="23" t="str">
        <x:v>2024-06-30</x:v>
      </x:c>
      <x:c r="C98" s="23" t="str">
        <x:v>6110</x:v>
      </x:c>
      <x:c r="D98" s="23" t="str">
        <x:v>Amortización</x:v>
      </x:c>
      <x:c r="E98" s="24" t="n">
        <x:v>-23750</x:v>
      </x:c>
      <x:c r="F98" s="23" t="str">
        <x:v>ERP simulado</x:v>
      </x:c>
      <x:c r="G98" s="23" t="str">
        <x:v>Actual</x:v>
      </x:c>
      <x:c r="H98" s="23" t="str">
        <x:v>EUR</x:v>
      </x:c>
    </x:row>
    <x:row r="99">
      <x:c r="A99" s="23" t="str">
        <x:v>2024-06</x:v>
      </x:c>
      <x:c r="B99" s="23" t="str">
        <x:v>2024-06-30</x:v>
      </x:c>
      <x:c r="C99" s="23" t="str">
        <x:v>6200</x:v>
      </x:c>
      <x:c r="D99" s="23" t="str">
        <x:v>Deterioros</x:v>
      </x:c>
      <x:c r="E99" s="24" t="n">
        <x:v>0</x:v>
      </x:c>
      <x:c r="F99" s="23" t="str">
        <x:v>ERP simulado</x:v>
      </x:c>
      <x:c r="G99" s="23" t="str">
        <x:v>Actual</x:v>
      </x:c>
      <x:c r="H99" s="23" t="str">
        <x:v>EUR</x:v>
      </x:c>
    </x:row>
    <x:row r="100">
      <x:c r="A100" s="23" t="str">
        <x:v>2024-06</x:v>
      </x:c>
      <x:c r="B100" s="23" t="str">
        <x:v>2024-06-30</x:v>
      </x:c>
      <x:c r="C100" s="23" t="str">
        <x:v>6300</x:v>
      </x:c>
      <x:c r="D100" s="23" t="str">
        <x:v>Resultado por venta de activos</x:v>
      </x:c>
      <x:c r="E100" s="24" t="n">
        <x:v>0</x:v>
      </x:c>
      <x:c r="F100" s="23" t="str">
        <x:v>ERP simulado</x:v>
      </x:c>
      <x:c r="G100" s="23" t="str">
        <x:v>Actual</x:v>
      </x:c>
      <x:c r="H100" s="23" t="str">
        <x:v>EUR</x:v>
      </x:c>
    </x:row>
    <x:row r="101">
      <x:c r="A101" s="23" t="str">
        <x:v>2024-06</x:v>
      </x:c>
      <x:c r="B101" s="23" t="str">
        <x:v>2024-06-30</x:v>
      </x:c>
      <x:c r="C101" s="23" t="str">
        <x:v>7000</x:v>
      </x:c>
      <x:c r="D101" s="23" t="str">
        <x:v>Gastos financieros</x:v>
      </x:c>
      <x:c r="E101" s="24" t="n">
        <x:v>-36000</x:v>
      </x:c>
      <x:c r="F101" s="23" t="str">
        <x:v>ERP simulado</x:v>
      </x:c>
      <x:c r="G101" s="23" t="str">
        <x:v>Actual</x:v>
      </x:c>
      <x:c r="H101" s="23" t="str">
        <x:v>EUR</x:v>
      </x:c>
    </x:row>
    <x:row r="102">
      <x:c r="A102" s="23" t="str">
        <x:v>2024-06</x:v>
      </x:c>
      <x:c r="B102" s="23" t="str">
        <x:v>2024-06-30</x:v>
      </x:c>
      <x:c r="C102" s="23" t="str">
        <x:v>7100</x:v>
      </x:c>
      <x:c r="D102" s="23" t="str">
        <x:v>Ingresos financieros</x:v>
      </x:c>
      <x:c r="E102" s="24" t="n">
        <x:v>1936</x:v>
      </x:c>
      <x:c r="F102" s="23" t="str">
        <x:v>ERP simulado</x:v>
      </x:c>
      <x:c r="G102" s="23" t="str">
        <x:v>Actual</x:v>
      </x:c>
      <x:c r="H102" s="23" t="str">
        <x:v>EUR</x:v>
      </x:c>
    </x:row>
    <x:row r="103">
      <x:c r="A103" s="23" t="str">
        <x:v>2024-06</x:v>
      </x:c>
      <x:c r="B103" s="23" t="str">
        <x:v>2024-06-30</x:v>
      </x:c>
      <x:c r="C103" s="23" t="str">
        <x:v>8000</x:v>
      </x:c>
      <x:c r="D103" s="23" t="str">
        <x:v>Impuesto sobre beneficios</x:v>
      </x:c>
      <x:c r="E103" s="24" t="n">
        <x:v>-90037</x:v>
      </x:c>
      <x:c r="F103" s="23" t="str">
        <x:v>ERP simulado</x:v>
      </x:c>
      <x:c r="G103" s="23" t="str">
        <x:v>Actual</x:v>
      </x:c>
      <x:c r="H103" s="23" t="str">
        <x:v>EUR</x:v>
      </x:c>
    </x:row>
    <x:row r="104">
      <x:c r="A104" s="23" t="str">
        <x:v>2024-07</x:v>
      </x:c>
      <x:c r="B104" s="23" t="str">
        <x:v>2024-07-31</x:v>
      </x:c>
      <x:c r="C104" s="23" t="str">
        <x:v>4000</x:v>
      </x:c>
      <x:c r="D104" s="23" t="str">
        <x:v>Ingresos por producto</x:v>
      </x:c>
      <x:c r="E104" s="24" t="n">
        <x:v>2078284</x:v>
      </x:c>
      <x:c r="F104" s="23" t="str">
        <x:v>ERP simulado</x:v>
      </x:c>
      <x:c r="G104" s="23" t="str">
        <x:v>Actual</x:v>
      </x:c>
      <x:c r="H104" s="23" t="str">
        <x:v>EUR</x:v>
      </x:c>
    </x:row>
    <x:row r="105">
      <x:c r="A105" s="23" t="str">
        <x:v>2024-07</x:v>
      </x:c>
      <x:c r="B105" s="23" t="str">
        <x:v>2024-07-31</x:v>
      </x:c>
      <x:c r="C105" s="23" t="str">
        <x:v>4010</x:v>
      </x:c>
      <x:c r="D105" s="23" t="str">
        <x:v>Ingresos por servicios</x:v>
      </x:c>
      <x:c r="E105" s="24" t="n">
        <x:v>835984</x:v>
      </x:c>
      <x:c r="F105" s="23" t="str">
        <x:v>ERP simulado</x:v>
      </x:c>
      <x:c r="G105" s="23" t="str">
        <x:v>Actual</x:v>
      </x:c>
      <x:c r="H105" s="23" t="str">
        <x:v>EUR</x:v>
      </x:c>
    </x:row>
    <x:row r="106">
      <x:c r="A106" s="23" t="str">
        <x:v>2024-07</x:v>
      </x:c>
      <x:c r="B106" s="23" t="str">
        <x:v>2024-07-31</x:v>
      </x:c>
      <x:c r="C106" s="23" t="str">
        <x:v>5000</x:v>
      </x:c>
      <x:c r="D106" s="23" t="str">
        <x:v>Materiales directos</x:v>
      </x:c>
      <x:c r="E106" s="24" t="n">
        <x:v>-1063708</x:v>
      </x:c>
      <x:c r="F106" s="23" t="str">
        <x:v>ERP simulado</x:v>
      </x:c>
      <x:c r="G106" s="23" t="str">
        <x:v>Actual</x:v>
      </x:c>
      <x:c r="H106" s="23" t="str">
        <x:v>EUR</x:v>
      </x:c>
    </x:row>
    <x:row r="107">
      <x:c r="A107" s="23" t="str">
        <x:v>2024-07</x:v>
      </x:c>
      <x:c r="B107" s="23" t="str">
        <x:v>2024-07-31</x:v>
      </x:c>
      <x:c r="C107" s="23" t="str">
        <x:v>5010</x:v>
      </x:c>
      <x:c r="D107" s="23" t="str">
        <x:v>Mano de obra directa</x:v>
      </x:c>
      <x:c r="E107" s="24" t="n">
        <x:v>-509997</x:v>
      </x:c>
      <x:c r="F107" s="23" t="str">
        <x:v>ERP simulado</x:v>
      </x:c>
      <x:c r="G107" s="23" t="str">
        <x:v>Actual</x:v>
      </x:c>
      <x:c r="H107" s="23" t="str">
        <x:v>EUR</x:v>
      </x:c>
    </x:row>
    <x:row r="108">
      <x:c r="A108" s="23" t="str">
        <x:v>2024-07</x:v>
      </x:c>
      <x:c r="B108" s="23" t="str">
        <x:v>2024-07-31</x:v>
      </x:c>
      <x:c r="C108" s="23" t="str">
        <x:v>5020</x:v>
      </x:c>
      <x:c r="D108" s="23" t="str">
        <x:v>Logística y subcontratación</x:v>
      </x:c>
      <x:c r="E108" s="24" t="n">
        <x:v>-180685</x:v>
      </x:c>
      <x:c r="F108" s="23" t="str">
        <x:v>ERP simulado</x:v>
      </x:c>
      <x:c r="G108" s="23" t="str">
        <x:v>Actual</x:v>
      </x:c>
      <x:c r="H108" s="23" t="str">
        <x:v>EUR</x:v>
      </x:c>
    </x:row>
    <x:row r="109">
      <x:c r="A109" s="23" t="str">
        <x:v>2024-07</x:v>
      </x:c>
      <x:c r="B109" s="23" t="str">
        <x:v>2024-07-31</x:v>
      </x:c>
      <x:c r="C109" s="23" t="str">
        <x:v>6000</x:v>
      </x:c>
      <x:c r="D109" s="23" t="str">
        <x:v>Gastos de personal</x:v>
      </x:c>
      <x:c r="E109" s="24" t="n">
        <x:v>-399667</x:v>
      </x:c>
      <x:c r="F109" s="23" t="str">
        <x:v>ERP simulado</x:v>
      </x:c>
      <x:c r="G109" s="23" t="str">
        <x:v>Actual</x:v>
      </x:c>
      <x:c r="H109" s="23" t="str">
        <x:v>EUR</x:v>
      </x:c>
    </x:row>
    <x:row r="110">
      <x:c r="A110" s="23" t="str">
        <x:v>2024-07</x:v>
      </x:c>
      <x:c r="B110" s="23" t="str">
        <x:v>2024-07-31</x:v>
      </x:c>
      <x:c r="C110" s="23" t="str">
        <x:v>6010</x:v>
      </x:c>
      <x:c r="D110" s="23" t="str">
        <x:v>Ventas y marketing</x:v>
      </x:c>
      <x:c r="E110" s="24" t="n">
        <x:v>-99085</x:v>
      </x:c>
      <x:c r="F110" s="23" t="str">
        <x:v>ERP simulado</x:v>
      </x:c>
      <x:c r="G110" s="23" t="str">
        <x:v>Actual</x:v>
      </x:c>
      <x:c r="H110" s="23" t="str">
        <x:v>EUR</x:v>
      </x:c>
    </x:row>
    <x:row r="111">
      <x:c r="A111" s="23" t="str">
        <x:v>2024-07</x:v>
      </x:c>
      <x:c r="B111" s="23" t="str">
        <x:v>2024-07-31</x:v>
      </x:c>
      <x:c r="C111" s="23" t="str">
        <x:v>6020</x:v>
      </x:c>
      <x:c r="D111" s="23" t="str">
        <x:v>IT y sistemas</x:v>
      </x:c>
      <x:c r="E111" s="24" t="n">
        <x:v>-52457</x:v>
      </x:c>
      <x:c r="F111" s="23" t="str">
        <x:v>ERP simulado</x:v>
      </x:c>
      <x:c r="G111" s="23" t="str">
        <x:v>Actual</x:v>
      </x:c>
      <x:c r="H111" s="23" t="str">
        <x:v>EUR</x:v>
      </x:c>
    </x:row>
    <x:row r="112">
      <x:c r="A112" s="23" t="str">
        <x:v>2024-07</x:v>
      </x:c>
      <x:c r="B112" s="23" t="str">
        <x:v>2024-07-31</x:v>
      </x:c>
      <x:c r="C112" s="23" t="str">
        <x:v>6030</x:v>
      </x:c>
      <x:c r="D112" s="23" t="str">
        <x:v>Alquileres e instalaciones</x:v>
      </x:c>
      <x:c r="E112" s="24" t="n">
        <x:v>-34971</x:v>
      </x:c>
      <x:c r="F112" s="23" t="str">
        <x:v>ERP simulado</x:v>
      </x:c>
      <x:c r="G112" s="23" t="str">
        <x:v>Actual</x:v>
      </x:c>
      <x:c r="H112" s="23" t="str">
        <x:v>EUR</x:v>
      </x:c>
    </x:row>
    <x:row r="113">
      <x:c r="A113" s="23" t="str">
        <x:v>2024-07</x:v>
      </x:c>
      <x:c r="B113" s="23" t="str">
        <x:v>2024-07-31</x:v>
      </x:c>
      <x:c r="C113" s="23" t="str">
        <x:v>6040</x:v>
      </x:c>
      <x:c r="D113" s="23" t="str">
        <x:v>Otros gastos operativos</x:v>
      </x:c>
      <x:c r="E113" s="24" t="n">
        <x:v>-69942</x:v>
      </x:c>
      <x:c r="F113" s="23" t="str">
        <x:v>ERP simulado</x:v>
      </x:c>
      <x:c r="G113" s="23" t="str">
        <x:v>Actual</x:v>
      </x:c>
      <x:c r="H113" s="23" t="str">
        <x:v>EUR</x:v>
      </x:c>
    </x:row>
    <x:row r="114">
      <x:c r="A114" s="23" t="str">
        <x:v>2024-07</x:v>
      </x:c>
      <x:c r="B114" s="23" t="str">
        <x:v>2024-07-31</x:v>
      </x:c>
      <x:c r="C114" s="23" t="str">
        <x:v>6100</x:v>
      </x:c>
      <x:c r="D114" s="23" t="str">
        <x:v>Depreciación</x:v>
      </x:c>
      <x:c r="E114" s="24" t="n">
        <x:v>-120000</x:v>
      </x:c>
      <x:c r="F114" s="23" t="str">
        <x:v>ERP simulado</x:v>
      </x:c>
      <x:c r="G114" s="23" t="str">
        <x:v>Actual</x:v>
      </x:c>
      <x:c r="H114" s="23" t="str">
        <x:v>EUR</x:v>
      </x:c>
    </x:row>
    <x:row r="115">
      <x:c r="A115" s="23" t="str">
        <x:v>2024-07</x:v>
      </x:c>
      <x:c r="B115" s="23" t="str">
        <x:v>2024-07-31</x:v>
      </x:c>
      <x:c r="C115" s="23" t="str">
        <x:v>6110</x:v>
      </x:c>
      <x:c r="D115" s="23" t="str">
        <x:v>Amortización</x:v>
      </x:c>
      <x:c r="E115" s="24" t="n">
        <x:v>-24100</x:v>
      </x:c>
      <x:c r="F115" s="23" t="str">
        <x:v>ERP simulado</x:v>
      </x:c>
      <x:c r="G115" s="23" t="str">
        <x:v>Actual</x:v>
      </x:c>
      <x:c r="H115" s="23" t="str">
        <x:v>EUR</x:v>
      </x:c>
    </x:row>
    <x:row r="116">
      <x:c r="A116" s="23" t="str">
        <x:v>2024-07</x:v>
      </x:c>
      <x:c r="B116" s="23" t="str">
        <x:v>2024-07-31</x:v>
      </x:c>
      <x:c r="C116" s="23" t="str">
        <x:v>6200</x:v>
      </x:c>
      <x:c r="D116" s="23" t="str">
        <x:v>Deterioros</x:v>
      </x:c>
      <x:c r="E116" s="24" t="n">
        <x:v>0</x:v>
      </x:c>
      <x:c r="F116" s="23" t="str">
        <x:v>ERP simulado</x:v>
      </x:c>
      <x:c r="G116" s="23" t="str">
        <x:v>Actual</x:v>
      </x:c>
      <x:c r="H116" s="23" t="str">
        <x:v>EUR</x:v>
      </x:c>
    </x:row>
    <x:row r="117">
      <x:c r="A117" s="23" t="str">
        <x:v>2024-07</x:v>
      </x:c>
      <x:c r="B117" s="23" t="str">
        <x:v>2024-07-31</x:v>
      </x:c>
      <x:c r="C117" s="23" t="str">
        <x:v>6300</x:v>
      </x:c>
      <x:c r="D117" s="23" t="str">
        <x:v>Resultado por venta de activos</x:v>
      </x:c>
      <x:c r="E117" s="24" t="n">
        <x:v>0</x:v>
      </x:c>
      <x:c r="F117" s="23" t="str">
        <x:v>ERP simulado</x:v>
      </x:c>
      <x:c r="G117" s="23" t="str">
        <x:v>Actual</x:v>
      </x:c>
      <x:c r="H117" s="23" t="str">
        <x:v>EUR</x:v>
      </x:c>
    </x:row>
    <x:row r="118">
      <x:c r="A118" s="23" t="str">
        <x:v>2024-07</x:v>
      </x:c>
      <x:c r="B118" s="23" t="str">
        <x:v>2024-07-31</x:v>
      </x:c>
      <x:c r="C118" s="23" t="str">
        <x:v>7000</x:v>
      </x:c>
      <x:c r="D118" s="23" t="str">
        <x:v>Gastos financieros</x:v>
      </x:c>
      <x:c r="E118" s="24" t="n">
        <x:v>-36000</x:v>
      </x:c>
      <x:c r="F118" s="23" t="str">
        <x:v>ERP simulado</x:v>
      </x:c>
      <x:c r="G118" s="23" t="str">
        <x:v>Actual</x:v>
      </x:c>
      <x:c r="H118" s="23" t="str">
        <x:v>EUR</x:v>
      </x:c>
    </x:row>
    <x:row r="119">
      <x:c r="A119" s="23" t="str">
        <x:v>2024-07</x:v>
      </x:c>
      <x:c r="B119" s="23" t="str">
        <x:v>2024-07-31</x:v>
      </x:c>
      <x:c r="C119" s="23" t="str">
        <x:v>7100</x:v>
      </x:c>
      <x:c r="D119" s="23" t="str">
        <x:v>Ingresos financieros</x:v>
      </x:c>
      <x:c r="E119" s="24" t="n">
        <x:v>1731</x:v>
      </x:c>
      <x:c r="F119" s="23" t="str">
        <x:v>ERP simulado</x:v>
      </x:c>
      <x:c r="G119" s="23" t="str">
        <x:v>Actual</x:v>
      </x:c>
      <x:c r="H119" s="23" t="str">
        <x:v>EUR</x:v>
      </x:c>
    </x:row>
    <x:row r="120">
      <x:c r="A120" s="23" t="str">
        <x:v>2024-07</x:v>
      </x:c>
      <x:c r="B120" s="23" t="str">
        <x:v>2024-07-31</x:v>
      </x:c>
      <x:c r="C120" s="23" t="str">
        <x:v>8000</x:v>
      </x:c>
      <x:c r="D120" s="23" t="str">
        <x:v>Impuesto sobre beneficios</x:v>
      </x:c>
      <x:c r="E120" s="24" t="n">
        <x:v>-81347</x:v>
      </x:c>
      <x:c r="F120" s="23" t="str">
        <x:v>ERP simulado</x:v>
      </x:c>
      <x:c r="G120" s="23" t="str">
        <x:v>Actual</x:v>
      </x:c>
      <x:c r="H120" s="23" t="str">
        <x:v>EUR</x:v>
      </x:c>
    </x:row>
    <x:row r="121">
      <x:c r="A121" s="23" t="str">
        <x:v>2024-08</x:v>
      </x:c>
      <x:c r="B121" s="23" t="str">
        <x:v>2024-08-31</x:v>
      </x:c>
      <x:c r="C121" s="23" t="str">
        <x:v>4000</x:v>
      </x:c>
      <x:c r="D121" s="23" t="str">
        <x:v>Ingresos por producto</x:v>
      </x:c>
      <x:c r="E121" s="24" t="n">
        <x:v>1995755</x:v>
      </x:c>
      <x:c r="F121" s="23" t="str">
        <x:v>ERP simulado</x:v>
      </x:c>
      <x:c r="G121" s="23" t="str">
        <x:v>Actual</x:v>
      </x:c>
      <x:c r="H121" s="23" t="str">
        <x:v>EUR</x:v>
      </x:c>
    </x:row>
    <x:row r="122">
      <x:c r="A122" s="23" t="str">
        <x:v>2024-08</x:v>
      </x:c>
      <x:c r="B122" s="23" t="str">
        <x:v>2024-08-31</x:v>
      </x:c>
      <x:c r="C122" s="23" t="str">
        <x:v>4010</x:v>
      </x:c>
      <x:c r="D122" s="23" t="str">
        <x:v>Ingresos por servicios</x:v>
      </x:c>
      <x:c r="E122" s="24" t="n">
        <x:v>784301</x:v>
      </x:c>
      <x:c r="F122" s="23" t="str">
        <x:v>ERP simulado</x:v>
      </x:c>
      <x:c r="G122" s="23" t="str">
        <x:v>Actual</x:v>
      </x:c>
      <x:c r="H122" s="23" t="str">
        <x:v>EUR</x:v>
      </x:c>
    </x:row>
    <x:row r="123">
      <x:c r="A123" s="23" t="str">
        <x:v>2024-08</x:v>
      </x:c>
      <x:c r="B123" s="23" t="str">
        <x:v>2024-08-31</x:v>
      </x:c>
      <x:c r="C123" s="23" t="str">
        <x:v>5000</x:v>
      </x:c>
      <x:c r="D123" s="23" t="str">
        <x:v>Materiales directos</x:v>
      </x:c>
      <x:c r="E123" s="24" t="n">
        <x:v>-1014720</x:v>
      </x:c>
      <x:c r="F123" s="23" t="str">
        <x:v>ERP simulado</x:v>
      </x:c>
      <x:c r="G123" s="23" t="str">
        <x:v>Actual</x:v>
      </x:c>
      <x:c r="H123" s="23" t="str">
        <x:v>EUR</x:v>
      </x:c>
    </x:row>
    <x:row r="124">
      <x:c r="A124" s="23" t="str">
        <x:v>2024-08</x:v>
      </x:c>
      <x:c r="B124" s="23" t="str">
        <x:v>2024-08-31</x:v>
      </x:c>
      <x:c r="C124" s="23" t="str">
        <x:v>5010</x:v>
      </x:c>
      <x:c r="D124" s="23" t="str">
        <x:v>Mano de obra directa</x:v>
      </x:c>
      <x:c r="E124" s="24" t="n">
        <x:v>-486510</x:v>
      </x:c>
      <x:c r="F124" s="23" t="str">
        <x:v>ERP simulado</x:v>
      </x:c>
      <x:c r="G124" s="23" t="str">
        <x:v>Actual</x:v>
      </x:c>
      <x:c r="H124" s="23" t="str">
        <x:v>EUR</x:v>
      </x:c>
    </x:row>
    <x:row r="125">
      <x:c r="A125" s="23" t="str">
        <x:v>2024-08</x:v>
      </x:c>
      <x:c r="B125" s="23" t="str">
        <x:v>2024-08-31</x:v>
      </x:c>
      <x:c r="C125" s="23" t="str">
        <x:v>5020</x:v>
      </x:c>
      <x:c r="D125" s="23" t="str">
        <x:v>Logística y subcontratación</x:v>
      </x:c>
      <x:c r="E125" s="24" t="n">
        <x:v>-172363</x:v>
      </x:c>
      <x:c r="F125" s="23" t="str">
        <x:v>ERP simulado</x:v>
      </x:c>
      <x:c r="G125" s="23" t="str">
        <x:v>Actual</x:v>
      </x:c>
      <x:c r="H125" s="23" t="str">
        <x:v>EUR</x:v>
      </x:c>
    </x:row>
    <x:row r="126">
      <x:c r="A126" s="23" t="str">
        <x:v>2024-08</x:v>
      </x:c>
      <x:c r="B126" s="23" t="str">
        <x:v>2024-08-31</x:v>
      </x:c>
      <x:c r="C126" s="23" t="str">
        <x:v>6000</x:v>
      </x:c>
      <x:c r="D126" s="23" t="str">
        <x:v>Gastos de personal</x:v>
      </x:c>
      <x:c r="E126" s="24" t="n">
        <x:v>-379877</x:v>
      </x:c>
      <x:c r="F126" s="23" t="str">
        <x:v>ERP simulado</x:v>
      </x:c>
      <x:c r="G126" s="23" t="str">
        <x:v>Actual</x:v>
      </x:c>
      <x:c r="H126" s="23" t="str">
        <x:v>EUR</x:v>
      </x:c>
    </x:row>
    <x:row r="127">
      <x:c r="A127" s="23" t="str">
        <x:v>2024-08</x:v>
      </x:c>
      <x:c r="B127" s="23" t="str">
        <x:v>2024-08-31</x:v>
      </x:c>
      <x:c r="C127" s="23" t="str">
        <x:v>6010</x:v>
      </x:c>
      <x:c r="D127" s="23" t="str">
        <x:v>Ventas y marketing</x:v>
      </x:c>
      <x:c r="E127" s="24" t="n">
        <x:v>-94522</x:v>
      </x:c>
      <x:c r="F127" s="23" t="str">
        <x:v>ERP simulado</x:v>
      </x:c>
      <x:c r="G127" s="23" t="str">
        <x:v>Actual</x:v>
      </x:c>
      <x:c r="H127" s="23" t="str">
        <x:v>EUR</x:v>
      </x:c>
    </x:row>
    <x:row r="128">
      <x:c r="A128" s="23" t="str">
        <x:v>2024-08</x:v>
      </x:c>
      <x:c r="B128" s="23" t="str">
        <x:v>2024-08-31</x:v>
      </x:c>
      <x:c r="C128" s="23" t="str">
        <x:v>6020</x:v>
      </x:c>
      <x:c r="D128" s="23" t="str">
        <x:v>IT y sistemas</x:v>
      </x:c>
      <x:c r="E128" s="24" t="n">
        <x:v>-50041</x:v>
      </x:c>
      <x:c r="F128" s="23" t="str">
        <x:v>ERP simulado</x:v>
      </x:c>
      <x:c r="G128" s="23" t="str">
        <x:v>Actual</x:v>
      </x:c>
      <x:c r="H128" s="23" t="str">
        <x:v>EUR</x:v>
      </x:c>
    </x:row>
    <x:row r="129">
      <x:c r="A129" s="23" t="str">
        <x:v>2024-08</x:v>
      </x:c>
      <x:c r="B129" s="23" t="str">
        <x:v>2024-08-31</x:v>
      </x:c>
      <x:c r="C129" s="23" t="str">
        <x:v>6030</x:v>
      </x:c>
      <x:c r="D129" s="23" t="str">
        <x:v>Alquileres e instalaciones</x:v>
      </x:c>
      <x:c r="E129" s="24" t="n">
        <x:v>-33361</x:v>
      </x:c>
      <x:c r="F129" s="23" t="str">
        <x:v>ERP simulado</x:v>
      </x:c>
      <x:c r="G129" s="23" t="str">
        <x:v>Actual</x:v>
      </x:c>
      <x:c r="H129" s="23" t="str">
        <x:v>EUR</x:v>
      </x:c>
    </x:row>
    <x:row r="130">
      <x:c r="A130" s="23" t="str">
        <x:v>2024-08</x:v>
      </x:c>
      <x:c r="B130" s="23" t="str">
        <x:v>2024-08-31</x:v>
      </x:c>
      <x:c r="C130" s="23" t="str">
        <x:v>6040</x:v>
      </x:c>
      <x:c r="D130" s="23" t="str">
        <x:v>Otros gastos operativos</x:v>
      </x:c>
      <x:c r="E130" s="24" t="n">
        <x:v>-66721</x:v>
      </x:c>
      <x:c r="F130" s="23" t="str">
        <x:v>ERP simulado</x:v>
      </x:c>
      <x:c r="G130" s="23" t="str">
        <x:v>Actual</x:v>
      </x:c>
      <x:c r="H130" s="23" t="str">
        <x:v>EUR</x:v>
      </x:c>
    </x:row>
    <x:row r="131">
      <x:c r="A131" s="23" t="str">
        <x:v>2024-08</x:v>
      </x:c>
      <x:c r="B131" s="23" t="str">
        <x:v>2024-08-31</x:v>
      </x:c>
      <x:c r="C131" s="23" t="str">
        <x:v>6100</x:v>
      </x:c>
      <x:c r="D131" s="23" t="str">
        <x:v>Depreciación</x:v>
      </x:c>
      <x:c r="E131" s="24" t="n">
        <x:v>-122500</x:v>
      </x:c>
      <x:c r="F131" s="23" t="str">
        <x:v>ERP simulado</x:v>
      </x:c>
      <x:c r="G131" s="23" t="str">
        <x:v>Actual</x:v>
      </x:c>
      <x:c r="H131" s="23" t="str">
        <x:v>EUR</x:v>
      </x:c>
    </x:row>
    <x:row r="132">
      <x:c r="A132" s="23" t="str">
        <x:v>2024-08</x:v>
      </x:c>
      <x:c r="B132" s="23" t="str">
        <x:v>2024-08-31</x:v>
      </x:c>
      <x:c r="C132" s="23" t="str">
        <x:v>6110</x:v>
      </x:c>
      <x:c r="D132" s="23" t="str">
        <x:v>Amortización</x:v>
      </x:c>
      <x:c r="E132" s="24" t="n">
        <x:v>-24450</x:v>
      </x:c>
      <x:c r="F132" s="23" t="str">
        <x:v>ERP simulado</x:v>
      </x:c>
      <x:c r="G132" s="23" t="str">
        <x:v>Actual</x:v>
      </x:c>
      <x:c r="H132" s="23" t="str">
        <x:v>EUR</x:v>
      </x:c>
    </x:row>
    <x:row r="133">
      <x:c r="A133" s="23" t="str">
        <x:v>2024-08</x:v>
      </x:c>
      <x:c r="B133" s="23" t="str">
        <x:v>2024-08-31</x:v>
      </x:c>
      <x:c r="C133" s="23" t="str">
        <x:v>6200</x:v>
      </x:c>
      <x:c r="D133" s="23" t="str">
        <x:v>Deterioros</x:v>
      </x:c>
      <x:c r="E133" s="24" t="n">
        <x:v>0</x:v>
      </x:c>
      <x:c r="F133" s="23" t="str">
        <x:v>ERP simulado</x:v>
      </x:c>
      <x:c r="G133" s="23" t="str">
        <x:v>Actual</x:v>
      </x:c>
      <x:c r="H133" s="23" t="str">
        <x:v>EUR</x:v>
      </x:c>
    </x:row>
    <x:row r="134">
      <x:c r="A134" s="23" t="str">
        <x:v>2024-08</x:v>
      </x:c>
      <x:c r="B134" s="23" t="str">
        <x:v>2024-08-31</x:v>
      </x:c>
      <x:c r="C134" s="23" t="str">
        <x:v>6300</x:v>
      </x:c>
      <x:c r="D134" s="23" t="str">
        <x:v>Resultado por venta de activos</x:v>
      </x:c>
      <x:c r="E134" s="24" t="n">
        <x:v>0</x:v>
      </x:c>
      <x:c r="F134" s="23" t="str">
        <x:v>ERP simulado</x:v>
      </x:c>
      <x:c r="G134" s="23" t="str">
        <x:v>Actual</x:v>
      </x:c>
      <x:c r="H134" s="23" t="str">
        <x:v>EUR</x:v>
      </x:c>
    </x:row>
    <x:row r="135">
      <x:c r="A135" s="23" t="str">
        <x:v>2024-08</x:v>
      </x:c>
      <x:c r="B135" s="23" t="str">
        <x:v>2024-08-31</x:v>
      </x:c>
      <x:c r="C135" s="23" t="str">
        <x:v>7000</x:v>
      </x:c>
      <x:c r="D135" s="23" t="str">
        <x:v>Gastos financieros</x:v>
      </x:c>
      <x:c r="E135" s="24" t="n">
        <x:v>-36000</x:v>
      </x:c>
      <x:c r="F135" s="23" t="str">
        <x:v>ERP simulado</x:v>
      </x:c>
      <x:c r="G135" s="23" t="str">
        <x:v>Actual</x:v>
      </x:c>
      <x:c r="H135" s="23" t="str">
        <x:v>EUR</x:v>
      </x:c>
    </x:row>
    <x:row r="136">
      <x:c r="A136" s="23" t="str">
        <x:v>2024-08</x:v>
      </x:c>
      <x:c r="B136" s="23" t="str">
        <x:v>2024-08-31</x:v>
      </x:c>
      <x:c r="C136" s="23" t="str">
        <x:v>7100</x:v>
      </x:c>
      <x:c r="D136" s="23" t="str">
        <x:v>Ingresos financieros</x:v>
      </x:c>
      <x:c r="E136" s="24" t="n">
        <x:v>2327</x:v>
      </x:c>
      <x:c r="F136" s="23" t="str">
        <x:v>ERP simulado</x:v>
      </x:c>
      <x:c r="G136" s="23" t="str">
        <x:v>Actual</x:v>
      </x:c>
      <x:c r="H136" s="23" t="str">
        <x:v>EUR</x:v>
      </x:c>
    </x:row>
    <x:row r="137">
      <x:c r="A137" s="23" t="str">
        <x:v>2024-08</x:v>
      </x:c>
      <x:c r="B137" s="23" t="str">
        <x:v>2024-08-31</x:v>
      </x:c>
      <x:c r="C137" s="23" t="str">
        <x:v>8000</x:v>
      </x:c>
      <x:c r="D137" s="23" t="str">
        <x:v>Impuesto sobre beneficios</x:v>
      </x:c>
      <x:c r="E137" s="24" t="n">
        <x:v>-75330</x:v>
      </x:c>
      <x:c r="F137" s="23" t="str">
        <x:v>ERP simulado</x:v>
      </x:c>
      <x:c r="G137" s="23" t="str">
        <x:v>Actual</x:v>
      </x:c>
      <x:c r="H137" s="23" t="str">
        <x:v>EUR</x:v>
      </x:c>
    </x:row>
    <x:row r="138">
      <x:c r="A138" s="23" t="str">
        <x:v>2024-09</x:v>
      </x:c>
      <x:c r="B138" s="23" t="str">
        <x:v>2024-09-30</x:v>
      </x:c>
      <x:c r="C138" s="23" t="str">
        <x:v>4000</x:v>
      </x:c>
      <x:c r="D138" s="23" t="str">
        <x:v>Ingresos por producto</x:v>
      </x:c>
      <x:c r="E138" s="24" t="n">
        <x:v>2306757</x:v>
      </x:c>
      <x:c r="F138" s="23" t="str">
        <x:v>ERP simulado</x:v>
      </x:c>
      <x:c r="G138" s="23" t="str">
        <x:v>Actual</x:v>
      </x:c>
      <x:c r="H138" s="23" t="str">
        <x:v>EUR</x:v>
      </x:c>
    </x:row>
    <x:row r="139">
      <x:c r="A139" s="23" t="str">
        <x:v>2024-09</x:v>
      </x:c>
      <x:c r="B139" s="23" t="str">
        <x:v>2024-09-30</x:v>
      </x:c>
      <x:c r="C139" s="23" t="str">
        <x:v>4010</x:v>
      </x:c>
      <x:c r="D139" s="23" t="str">
        <x:v>Ingresos por servicios</x:v>
      </x:c>
      <x:c r="E139" s="24" t="n">
        <x:v>884403</x:v>
      </x:c>
      <x:c r="F139" s="23" t="str">
        <x:v>ERP simulado</x:v>
      </x:c>
      <x:c r="G139" s="23" t="str">
        <x:v>Actual</x:v>
      </x:c>
      <x:c r="H139" s="23" t="str">
        <x:v>EUR</x:v>
      </x:c>
    </x:row>
    <x:row r="140">
      <x:c r="A140" s="23" t="str">
        <x:v>2024-09</x:v>
      </x:c>
      <x:c r="B140" s="23" t="str">
        <x:v>2024-09-30</x:v>
      </x:c>
      <x:c r="C140" s="23" t="str">
        <x:v>5000</x:v>
      </x:c>
      <x:c r="D140" s="23" t="str">
        <x:v>Materiales directos</x:v>
      </x:c>
      <x:c r="E140" s="24" t="n">
        <x:v>-1164773</x:v>
      </x:c>
      <x:c r="F140" s="23" t="str">
        <x:v>ERP simulado</x:v>
      </x:c>
      <x:c r="G140" s="23" t="str">
        <x:v>Actual</x:v>
      </x:c>
      <x:c r="H140" s="23" t="str">
        <x:v>EUR</x:v>
      </x:c>
    </x:row>
    <x:row r="141">
      <x:c r="A141" s="23" t="str">
        <x:v>2024-09</x:v>
      </x:c>
      <x:c r="B141" s="23" t="str">
        <x:v>2024-09-30</x:v>
      </x:c>
      <x:c r="C141" s="23" t="str">
        <x:v>5010</x:v>
      </x:c>
      <x:c r="D141" s="23" t="str">
        <x:v>Mano de obra directa</x:v>
      </x:c>
      <x:c r="E141" s="24" t="n">
        <x:v>-558453</x:v>
      </x:c>
      <x:c r="F141" s="23" t="str">
        <x:v>ERP simulado</x:v>
      </x:c>
      <x:c r="G141" s="23" t="str">
        <x:v>Actual</x:v>
      </x:c>
      <x:c r="H141" s="23" t="str">
        <x:v>EUR</x:v>
      </x:c>
    </x:row>
    <x:row r="142">
      <x:c r="A142" s="23" t="str">
        <x:v>2024-09</x:v>
      </x:c>
      <x:c r="B142" s="23" t="str">
        <x:v>2024-09-30</x:v>
      </x:c>
      <x:c r="C142" s="23" t="str">
        <x:v>5020</x:v>
      </x:c>
      <x:c r="D142" s="23" t="str">
        <x:v>Logística y subcontratación</x:v>
      </x:c>
      <x:c r="E142" s="24" t="n">
        <x:v>-197852</x:v>
      </x:c>
      <x:c r="F142" s="23" t="str">
        <x:v>ERP simulado</x:v>
      </x:c>
      <x:c r="G142" s="23" t="str">
        <x:v>Actual</x:v>
      </x:c>
      <x:c r="H142" s="23" t="str">
        <x:v>EUR</x:v>
      </x:c>
    </x:row>
    <x:row r="143">
      <x:c r="A143" s="23" t="str">
        <x:v>2024-09</x:v>
      </x:c>
      <x:c r="B143" s="23" t="str">
        <x:v>2024-09-30</x:v>
      </x:c>
      <x:c r="C143" s="23" t="str">
        <x:v>6000</x:v>
      </x:c>
      <x:c r="D143" s="23" t="str">
        <x:v>Gastos de personal</x:v>
      </x:c>
      <x:c r="E143" s="24" t="n">
        <x:v>-434533</x:v>
      </x:c>
      <x:c r="F143" s="23" t="str">
        <x:v>ERP simulado</x:v>
      </x:c>
      <x:c r="G143" s="23" t="str">
        <x:v>Actual</x:v>
      </x:c>
      <x:c r="H143" s="23" t="str">
        <x:v>EUR</x:v>
      </x:c>
    </x:row>
    <x:row r="144">
      <x:c r="A144" s="23" t="str">
        <x:v>2024-09</x:v>
      </x:c>
      <x:c r="B144" s="23" t="str">
        <x:v>2024-09-30</x:v>
      </x:c>
      <x:c r="C144" s="23" t="str">
        <x:v>6010</x:v>
      </x:c>
      <x:c r="D144" s="23" t="str">
        <x:v>Ventas y marketing</x:v>
      </x:c>
      <x:c r="E144" s="24" t="n">
        <x:v>-108499</x:v>
      </x:c>
      <x:c r="F144" s="23" t="str">
        <x:v>ERP simulado</x:v>
      </x:c>
      <x:c r="G144" s="23" t="str">
        <x:v>Actual</x:v>
      </x:c>
      <x:c r="H144" s="23" t="str">
        <x:v>EUR</x:v>
      </x:c>
    </x:row>
    <x:row r="145">
      <x:c r="A145" s="23" t="str">
        <x:v>2024-09</x:v>
      </x:c>
      <x:c r="B145" s="23" t="str">
        <x:v>2024-09-30</x:v>
      </x:c>
      <x:c r="C145" s="23" t="str">
        <x:v>6020</x:v>
      </x:c>
      <x:c r="D145" s="23" t="str">
        <x:v>IT y sistemas</x:v>
      </x:c>
      <x:c r="E145" s="24" t="n">
        <x:v>-57441</x:v>
      </x:c>
      <x:c r="F145" s="23" t="str">
        <x:v>ERP simulado</x:v>
      </x:c>
      <x:c r="G145" s="23" t="str">
        <x:v>Actual</x:v>
      </x:c>
      <x:c r="H145" s="23" t="str">
        <x:v>EUR</x:v>
      </x:c>
    </x:row>
    <x:row r="146">
      <x:c r="A146" s="23" t="str">
        <x:v>2024-09</x:v>
      </x:c>
      <x:c r="B146" s="23" t="str">
        <x:v>2024-09-30</x:v>
      </x:c>
      <x:c r="C146" s="23" t="str">
        <x:v>6030</x:v>
      </x:c>
      <x:c r="D146" s="23" t="str">
        <x:v>Alquileres e instalaciones</x:v>
      </x:c>
      <x:c r="E146" s="24" t="n">
        <x:v>-38294</x:v>
      </x:c>
      <x:c r="F146" s="23" t="str">
        <x:v>ERP simulado</x:v>
      </x:c>
      <x:c r="G146" s="23" t="str">
        <x:v>Actual</x:v>
      </x:c>
      <x:c r="H146" s="23" t="str">
        <x:v>EUR</x:v>
      </x:c>
    </x:row>
    <x:row r="147">
      <x:c r="A147" s="23" t="str">
        <x:v>2024-09</x:v>
      </x:c>
      <x:c r="B147" s="23" t="str">
        <x:v>2024-09-30</x:v>
      </x:c>
      <x:c r="C147" s="23" t="str">
        <x:v>6040</x:v>
      </x:c>
      <x:c r="D147" s="23" t="str">
        <x:v>Otros gastos operativos</x:v>
      </x:c>
      <x:c r="E147" s="24" t="n">
        <x:v>-76588</x:v>
      </x:c>
      <x:c r="F147" s="23" t="str">
        <x:v>ERP simulado</x:v>
      </x:c>
      <x:c r="G147" s="23" t="str">
        <x:v>Actual</x:v>
      </x:c>
      <x:c r="H147" s="23" t="str">
        <x:v>EUR</x:v>
      </x:c>
    </x:row>
    <x:row r="148">
      <x:c r="A148" s="23" t="str">
        <x:v>2024-09</x:v>
      </x:c>
      <x:c r="B148" s="23" t="str">
        <x:v>2024-09-30</x:v>
      </x:c>
      <x:c r="C148" s="23" t="str">
        <x:v>6100</x:v>
      </x:c>
      <x:c r="D148" s="23" t="str">
        <x:v>Depreciación</x:v>
      </x:c>
      <x:c r="E148" s="24" t="n">
        <x:v>-125000</x:v>
      </x:c>
      <x:c r="F148" s="23" t="str">
        <x:v>ERP simulado</x:v>
      </x:c>
      <x:c r="G148" s="23" t="str">
        <x:v>Actual</x:v>
      </x:c>
      <x:c r="H148" s="23" t="str">
        <x:v>EUR</x:v>
      </x:c>
    </x:row>
    <x:row r="149">
      <x:c r="A149" s="23" t="str">
        <x:v>2024-09</x:v>
      </x:c>
      <x:c r="B149" s="23" t="str">
        <x:v>2024-09-30</x:v>
      </x:c>
      <x:c r="C149" s="23" t="str">
        <x:v>6110</x:v>
      </x:c>
      <x:c r="D149" s="23" t="str">
        <x:v>Amortización</x:v>
      </x:c>
      <x:c r="E149" s="24" t="n">
        <x:v>-24800</x:v>
      </x:c>
      <x:c r="F149" s="23" t="str">
        <x:v>ERP simulado</x:v>
      </x:c>
      <x:c r="G149" s="23" t="str">
        <x:v>Actual</x:v>
      </x:c>
      <x:c r="H149" s="23" t="str">
        <x:v>EUR</x:v>
      </x:c>
    </x:row>
    <x:row r="150">
      <x:c r="A150" s="23" t="str">
        <x:v>2024-09</x:v>
      </x:c>
      <x:c r="B150" s="23" t="str">
        <x:v>2024-09-30</x:v>
      </x:c>
      <x:c r="C150" s="23" t="str">
        <x:v>6200</x:v>
      </x:c>
      <x:c r="D150" s="23" t="str">
        <x:v>Deterioros</x:v>
      </x:c>
      <x:c r="E150" s="24" t="n">
        <x:v>0</x:v>
      </x:c>
      <x:c r="F150" s="23" t="str">
        <x:v>ERP simulado</x:v>
      </x:c>
      <x:c r="G150" s="23" t="str">
        <x:v>Actual</x:v>
      </x:c>
      <x:c r="H150" s="23" t="str">
        <x:v>EUR</x:v>
      </x:c>
    </x:row>
    <x:row r="151">
      <x:c r="A151" s="23" t="str">
        <x:v>2024-09</x:v>
      </x:c>
      <x:c r="B151" s="23" t="str">
        <x:v>2024-09-30</x:v>
      </x:c>
      <x:c r="C151" s="23" t="str">
        <x:v>6300</x:v>
      </x:c>
      <x:c r="D151" s="23" t="str">
        <x:v>Resultado por venta de activos</x:v>
      </x:c>
      <x:c r="E151" s="24" t="n">
        <x:v>0</x:v>
      </x:c>
      <x:c r="F151" s="23" t="str">
        <x:v>ERP simulado</x:v>
      </x:c>
      <x:c r="G151" s="23" t="str">
        <x:v>Actual</x:v>
      </x:c>
      <x:c r="H151" s="23" t="str">
        <x:v>EUR</x:v>
      </x:c>
    </x:row>
    <x:row r="152">
      <x:c r="A152" s="23" t="str">
        <x:v>2024-09</x:v>
      </x:c>
      <x:c r="B152" s="23" t="str">
        <x:v>2024-09-30</x:v>
      </x:c>
      <x:c r="C152" s="23" t="str">
        <x:v>7000</x:v>
      </x:c>
      <x:c r="D152" s="23" t="str">
        <x:v>Gastos financieros</x:v>
      </x:c>
      <x:c r="E152" s="24" t="n">
        <x:v>-36000</x:v>
      </x:c>
      <x:c r="F152" s="23" t="str">
        <x:v>ERP simulado</x:v>
      </x:c>
      <x:c r="G152" s="23" t="str">
        <x:v>Actual</x:v>
      </x:c>
      <x:c r="H152" s="23" t="str">
        <x:v>EUR</x:v>
      </x:c>
    </x:row>
    <x:row r="153">
      <x:c r="A153" s="23" t="str">
        <x:v>2024-09</x:v>
      </x:c>
      <x:c r="B153" s="23" t="str">
        <x:v>2024-09-30</x:v>
      </x:c>
      <x:c r="C153" s="23" t="str">
        <x:v>7100</x:v>
      </x:c>
      <x:c r="D153" s="23" t="str">
        <x:v>Ingresos financieros</x:v>
      </x:c>
      <x:c r="E153" s="24" t="n">
        <x:v>2684</x:v>
      </x:c>
      <x:c r="F153" s="23" t="str">
        <x:v>ERP simulado</x:v>
      </x:c>
      <x:c r="G153" s="23" t="str">
        <x:v>Actual</x:v>
      </x:c>
      <x:c r="H153" s="23" t="str">
        <x:v>EUR</x:v>
      </x:c>
    </x:row>
    <x:row r="154">
      <x:c r="A154" s="23" t="str">
        <x:v>2024-09</x:v>
      </x:c>
      <x:c r="B154" s="23" t="str">
        <x:v>2024-09-30</x:v>
      </x:c>
      <x:c r="C154" s="23" t="str">
        <x:v>8000</x:v>
      </x:c>
      <x:c r="D154" s="23" t="str">
        <x:v>Impuesto sobre beneficios</x:v>
      </x:c>
      <x:c r="E154" s="24" t="n">
        <x:v>-92903</x:v>
      </x:c>
      <x:c r="F154" s="23" t="str">
        <x:v>ERP simulado</x:v>
      </x:c>
      <x:c r="G154" s="23" t="str">
        <x:v>Actual</x:v>
      </x:c>
      <x:c r="H154" s="23" t="str">
        <x:v>EUR</x:v>
      </x:c>
    </x:row>
    <x:row r="155">
      <x:c r="A155" s="23" t="str">
        <x:v>2024-10</x:v>
      </x:c>
      <x:c r="B155" s="23" t="str">
        <x:v>2024-10-31</x:v>
      </x:c>
      <x:c r="C155" s="23" t="str">
        <x:v>4000</x:v>
      </x:c>
      <x:c r="D155" s="23" t="str">
        <x:v>Ingresos por producto</x:v>
      </x:c>
      <x:c r="E155" s="24" t="n">
        <x:v>2401634</x:v>
      </x:c>
      <x:c r="F155" s="23" t="str">
        <x:v>ERP simulado</x:v>
      </x:c>
      <x:c r="G155" s="23" t="str">
        <x:v>Actual</x:v>
      </x:c>
      <x:c r="H155" s="23" t="str">
        <x:v>EUR</x:v>
      </x:c>
    </x:row>
    <x:row r="156">
      <x:c r="A156" s="23" t="str">
        <x:v>2024-10</x:v>
      </x:c>
      <x:c r="B156" s="23" t="str">
        <x:v>2024-10-31</x:v>
      </x:c>
      <x:c r="C156" s="23" t="str">
        <x:v>4010</x:v>
      </x:c>
      <x:c r="D156" s="23" t="str">
        <x:v>Ingresos por servicios</x:v>
      </x:c>
      <x:c r="E156" s="24" t="n">
        <x:v>899494</x:v>
      </x:c>
      <x:c r="F156" s="23" t="str">
        <x:v>ERP simulado</x:v>
      </x:c>
      <x:c r="G156" s="23" t="str">
        <x:v>Actual</x:v>
      </x:c>
      <x:c r="H156" s="23" t="str">
        <x:v>EUR</x:v>
      </x:c>
    </x:row>
    <x:row r="157">
      <x:c r="A157" s="23" t="str">
        <x:v>2024-10</x:v>
      </x:c>
      <x:c r="B157" s="23" t="str">
        <x:v>2024-10-31</x:v>
      </x:c>
      <x:c r="C157" s="23" t="str">
        <x:v>5000</x:v>
      </x:c>
      <x:c r="D157" s="23" t="str">
        <x:v>Materiales directos</x:v>
      </x:c>
      <x:c r="E157" s="24" t="n">
        <x:v>-1204912</x:v>
      </x:c>
      <x:c r="F157" s="23" t="str">
        <x:v>ERP simulado</x:v>
      </x:c>
      <x:c r="G157" s="23" t="str">
        <x:v>Actual</x:v>
      </x:c>
      <x:c r="H157" s="23" t="str">
        <x:v>EUR</x:v>
      </x:c>
    </x:row>
    <x:row r="158">
      <x:c r="A158" s="23" t="str">
        <x:v>2024-10</x:v>
      </x:c>
      <x:c r="B158" s="23" t="str">
        <x:v>2024-10-31</x:v>
      </x:c>
      <x:c r="C158" s="23" t="str">
        <x:v>5010</x:v>
      </x:c>
      <x:c r="D158" s="23" t="str">
        <x:v>Mano de obra directa</x:v>
      </x:c>
      <x:c r="E158" s="24" t="n">
        <x:v>-577697</x:v>
      </x:c>
      <x:c r="F158" s="23" t="str">
        <x:v>ERP simulado</x:v>
      </x:c>
      <x:c r="G158" s="23" t="str">
        <x:v>Actual</x:v>
      </x:c>
      <x:c r="H158" s="23" t="str">
        <x:v>EUR</x:v>
      </x:c>
    </x:row>
    <x:row r="159">
      <x:c r="A159" s="23" t="str">
        <x:v>2024-10</x:v>
      </x:c>
      <x:c r="B159" s="23" t="str">
        <x:v>2024-10-31</x:v>
      </x:c>
      <x:c r="C159" s="23" t="str">
        <x:v>5020</x:v>
      </x:c>
      <x:c r="D159" s="23" t="str">
        <x:v>Logística y subcontratación</x:v>
      </x:c>
      <x:c r="E159" s="24" t="n">
        <x:v>-204670</x:v>
      </x:c>
      <x:c r="F159" s="23" t="str">
        <x:v>ERP simulado</x:v>
      </x:c>
      <x:c r="G159" s="23" t="str">
        <x:v>Actual</x:v>
      </x:c>
      <x:c r="H159" s="23" t="str">
        <x:v>EUR</x:v>
      </x:c>
    </x:row>
    <x:row r="160">
      <x:c r="A160" s="23" t="str">
        <x:v>2024-10</x:v>
      </x:c>
      <x:c r="B160" s="23" t="str">
        <x:v>2024-10-31</x:v>
      </x:c>
      <x:c r="C160" s="23" t="str">
        <x:v>6000</x:v>
      </x:c>
      <x:c r="D160" s="23" t="str">
        <x:v>Gastos de personal</x:v>
      </x:c>
      <x:c r="E160" s="24" t="n">
        <x:v>-448107</x:v>
      </x:c>
      <x:c r="F160" s="23" t="str">
        <x:v>ERP simulado</x:v>
      </x:c>
      <x:c r="G160" s="23" t="str">
        <x:v>Actual</x:v>
      </x:c>
      <x:c r="H160" s="23" t="str">
        <x:v>EUR</x:v>
      </x:c>
    </x:row>
    <x:row r="161">
      <x:c r="A161" s="23" t="str">
        <x:v>2024-10</x:v>
      </x:c>
      <x:c r="B161" s="23" t="str">
        <x:v>2024-10-31</x:v>
      </x:c>
      <x:c r="C161" s="23" t="str">
        <x:v>6010</x:v>
      </x:c>
      <x:c r="D161" s="23" t="str">
        <x:v>Ventas y marketing</x:v>
      </x:c>
      <x:c r="E161" s="24" t="n">
        <x:v>-112238</x:v>
      </x:c>
      <x:c r="F161" s="23" t="str">
        <x:v>ERP simulado</x:v>
      </x:c>
      <x:c r="G161" s="23" t="str">
        <x:v>Actual</x:v>
      </x:c>
      <x:c r="H161" s="23" t="str">
        <x:v>EUR</x:v>
      </x:c>
    </x:row>
    <x:row r="162">
      <x:c r="A162" s="23" t="str">
        <x:v>2024-10</x:v>
      </x:c>
      <x:c r="B162" s="23" t="str">
        <x:v>2024-10-31</x:v>
      </x:c>
      <x:c r="C162" s="23" t="str">
        <x:v>6020</x:v>
      </x:c>
      <x:c r="D162" s="23" t="str">
        <x:v>IT y sistemas</x:v>
      </x:c>
      <x:c r="E162" s="24" t="n">
        <x:v>-59420</x:v>
      </x:c>
      <x:c r="F162" s="23" t="str">
        <x:v>ERP simulado</x:v>
      </x:c>
      <x:c r="G162" s="23" t="str">
        <x:v>Actual</x:v>
      </x:c>
      <x:c r="H162" s="23" t="str">
        <x:v>EUR</x:v>
      </x:c>
    </x:row>
    <x:row r="163">
      <x:c r="A163" s="23" t="str">
        <x:v>2024-10</x:v>
      </x:c>
      <x:c r="B163" s="23" t="str">
        <x:v>2024-10-31</x:v>
      </x:c>
      <x:c r="C163" s="23" t="str">
        <x:v>6030</x:v>
      </x:c>
      <x:c r="D163" s="23" t="str">
        <x:v>Alquileres e instalaciones</x:v>
      </x:c>
      <x:c r="E163" s="24" t="n">
        <x:v>-39614</x:v>
      </x:c>
      <x:c r="F163" s="23" t="str">
        <x:v>ERP simulado</x:v>
      </x:c>
      <x:c r="G163" s="23" t="str">
        <x:v>Actual</x:v>
      </x:c>
      <x:c r="H163" s="23" t="str">
        <x:v>EUR</x:v>
      </x:c>
    </x:row>
    <x:row r="164">
      <x:c r="A164" s="23" t="str">
        <x:v>2024-10</x:v>
      </x:c>
      <x:c r="B164" s="23" t="str">
        <x:v>2024-10-31</x:v>
      </x:c>
      <x:c r="C164" s="23" t="str">
        <x:v>6040</x:v>
      </x:c>
      <x:c r="D164" s="23" t="str">
        <x:v>Otros gastos operativos</x:v>
      </x:c>
      <x:c r="E164" s="24" t="n">
        <x:v>-79227</x:v>
      </x:c>
      <x:c r="F164" s="23" t="str">
        <x:v>ERP simulado</x:v>
      </x:c>
      <x:c r="G164" s="23" t="str">
        <x:v>Actual</x:v>
      </x:c>
      <x:c r="H164" s="23" t="str">
        <x:v>EUR</x:v>
      </x:c>
    </x:row>
    <x:row r="165">
      <x:c r="A165" s="23" t="str">
        <x:v>2024-10</x:v>
      </x:c>
      <x:c r="B165" s="23" t="str">
        <x:v>2024-10-31</x:v>
      </x:c>
      <x:c r="C165" s="23" t="str">
        <x:v>6100</x:v>
      </x:c>
      <x:c r="D165" s="23" t="str">
        <x:v>Depreciación</x:v>
      </x:c>
      <x:c r="E165" s="24" t="n">
        <x:v>-127500</x:v>
      </x:c>
      <x:c r="F165" s="23" t="str">
        <x:v>ERP simulado</x:v>
      </x:c>
      <x:c r="G165" s="23" t="str">
        <x:v>Actual</x:v>
      </x:c>
      <x:c r="H165" s="23" t="str">
        <x:v>EUR</x:v>
      </x:c>
    </x:row>
    <x:row r="166">
      <x:c r="A166" s="23" t="str">
        <x:v>2024-10</x:v>
      </x:c>
      <x:c r="B166" s="23" t="str">
        <x:v>2024-10-31</x:v>
      </x:c>
      <x:c r="C166" s="23" t="str">
        <x:v>6110</x:v>
      </x:c>
      <x:c r="D166" s="23" t="str">
        <x:v>Amortización</x:v>
      </x:c>
      <x:c r="E166" s="24" t="n">
        <x:v>-25150</x:v>
      </x:c>
      <x:c r="F166" s="23" t="str">
        <x:v>ERP simulado</x:v>
      </x:c>
      <x:c r="G166" s="23" t="str">
        <x:v>Actual</x:v>
      </x:c>
      <x:c r="H166" s="23" t="str">
        <x:v>EUR</x:v>
      </x:c>
    </x:row>
    <x:row r="167">
      <x:c r="A167" s="23" t="str">
        <x:v>2024-10</x:v>
      </x:c>
      <x:c r="B167" s="23" t="str">
        <x:v>2024-10-31</x:v>
      </x:c>
      <x:c r="C167" s="23" t="str">
        <x:v>6200</x:v>
      </x:c>
      <x:c r="D167" s="23" t="str">
        <x:v>Deterioros</x:v>
      </x:c>
      <x:c r="E167" s="24" t="n">
        <x:v>0</x:v>
      </x:c>
      <x:c r="F167" s="23" t="str">
        <x:v>ERP simulado</x:v>
      </x:c>
      <x:c r="G167" s="23" t="str">
        <x:v>Actual</x:v>
      </x:c>
      <x:c r="H167" s="23" t="str">
        <x:v>EUR</x:v>
      </x:c>
    </x:row>
    <x:row r="168">
      <x:c r="A168" s="23" t="str">
        <x:v>2024-10</x:v>
      </x:c>
      <x:c r="B168" s="23" t="str">
        <x:v>2024-10-31</x:v>
      </x:c>
      <x:c r="C168" s="23" t="str">
        <x:v>6300</x:v>
      </x:c>
      <x:c r="D168" s="23" t="str">
        <x:v>Resultado por venta de activos</x:v>
      </x:c>
      <x:c r="E168" s="24" t="n">
        <x:v>0</x:v>
      </x:c>
      <x:c r="F168" s="23" t="str">
        <x:v>ERP simulado</x:v>
      </x:c>
      <x:c r="G168" s="23" t="str">
        <x:v>Actual</x:v>
      </x:c>
      <x:c r="H168" s="23" t="str">
        <x:v>EUR</x:v>
      </x:c>
    </x:row>
    <x:row r="169">
      <x:c r="A169" s="23" t="str">
        <x:v>2024-10</x:v>
      </x:c>
      <x:c r="B169" s="23" t="str">
        <x:v>2024-10-31</x:v>
      </x:c>
      <x:c r="C169" s="23" t="str">
        <x:v>7000</x:v>
      </x:c>
      <x:c r="D169" s="23" t="str">
        <x:v>Gastos financieros</x:v>
      </x:c>
      <x:c r="E169" s="24" t="n">
        <x:v>-36000</x:v>
      </x:c>
      <x:c r="F169" s="23" t="str">
        <x:v>ERP simulado</x:v>
      </x:c>
      <x:c r="G169" s="23" t="str">
        <x:v>Actual</x:v>
      </x:c>
      <x:c r="H169" s="23" t="str">
        <x:v>EUR</x:v>
      </x:c>
    </x:row>
    <x:row r="170">
      <x:c r="A170" s="23" t="str">
        <x:v>2024-10</x:v>
      </x:c>
      <x:c r="B170" s="23" t="str">
        <x:v>2024-10-31</x:v>
      </x:c>
      <x:c r="C170" s="23" t="str">
        <x:v>7100</x:v>
      </x:c>
      <x:c r="D170" s="23" t="str">
        <x:v>Ingresos financieros</x:v>
      </x:c>
      <x:c r="E170" s="24" t="n">
        <x:v>2081</x:v>
      </x:c>
      <x:c r="F170" s="23" t="str">
        <x:v>ERP simulado</x:v>
      </x:c>
      <x:c r="G170" s="23" t="str">
        <x:v>Actual</x:v>
      </x:c>
      <x:c r="H170" s="23" t="str">
        <x:v>EUR</x:v>
      </x:c>
    </x:row>
    <x:row r="171">
      <x:c r="A171" s="23" t="str">
        <x:v>2024-10</x:v>
      </x:c>
      <x:c r="B171" s="23" t="str">
        <x:v>2024-10-31</x:v>
      </x:c>
      <x:c r="C171" s="23" t="str">
        <x:v>8000</x:v>
      </x:c>
      <x:c r="D171" s="23" t="str">
        <x:v>Impuesto sobre beneficios</x:v>
      </x:c>
      <x:c r="E171" s="24" t="n">
        <x:v>-97169</x:v>
      </x:c>
      <x:c r="F171" s="23" t="str">
        <x:v>ERP simulado</x:v>
      </x:c>
      <x:c r="G171" s="23" t="str">
        <x:v>Actual</x:v>
      </x:c>
      <x:c r="H171" s="23" t="str">
        <x:v>EUR</x:v>
      </x:c>
    </x:row>
    <x:row r="172">
      <x:c r="A172" s="23" t="str">
        <x:v>2024-11</x:v>
      </x:c>
      <x:c r="B172" s="23" t="str">
        <x:v>2024-11-30</x:v>
      </x:c>
      <x:c r="C172" s="23" t="str">
        <x:v>4000</x:v>
      </x:c>
      <x:c r="D172" s="23" t="str">
        <x:v>Ingresos por producto</x:v>
      </x:c>
      <x:c r="E172" s="24" t="n">
        <x:v>2517957</x:v>
      </x:c>
      <x:c r="F172" s="23" t="str">
        <x:v>ERP simulado</x:v>
      </x:c>
      <x:c r="G172" s="23" t="str">
        <x:v>Actual</x:v>
      </x:c>
      <x:c r="H172" s="23" t="str">
        <x:v>EUR</x:v>
      </x:c>
    </x:row>
    <x:row r="173">
      <x:c r="A173" s="23" t="str">
        <x:v>2024-11</x:v>
      </x:c>
      <x:c r="B173" s="23" t="str">
        <x:v>2024-11-30</x:v>
      </x:c>
      <x:c r="C173" s="23" t="str">
        <x:v>4010</x:v>
      </x:c>
      <x:c r="D173" s="23" t="str">
        <x:v>Ingresos por servicios</x:v>
      </x:c>
      <x:c r="E173" s="24" t="n">
        <x:v>924923</x:v>
      </x:c>
      <x:c r="F173" s="23" t="str">
        <x:v>ERP simulado</x:v>
      </x:c>
      <x:c r="G173" s="23" t="str">
        <x:v>Actual</x:v>
      </x:c>
      <x:c r="H173" s="23" t="str">
        <x:v>EUR</x:v>
      </x:c>
    </x:row>
    <x:row r="174">
      <x:c r="A174" s="23" t="str">
        <x:v>2024-11</x:v>
      </x:c>
      <x:c r="B174" s="23" t="str">
        <x:v>2024-11-30</x:v>
      </x:c>
      <x:c r="C174" s="23" t="str">
        <x:v>5000</x:v>
      </x:c>
      <x:c r="D174" s="23" t="str">
        <x:v>Materiales directos</x:v>
      </x:c>
      <x:c r="E174" s="24" t="n">
        <x:v>-1256651</x:v>
      </x:c>
      <x:c r="F174" s="23" t="str">
        <x:v>ERP simulado</x:v>
      </x:c>
      <x:c r="G174" s="23" t="str">
        <x:v>Actual</x:v>
      </x:c>
      <x:c r="H174" s="23" t="str">
        <x:v>EUR</x:v>
      </x:c>
    </x:row>
    <x:row r="175">
      <x:c r="A175" s="23" t="str">
        <x:v>2024-11</x:v>
      </x:c>
      <x:c r="B175" s="23" t="str">
        <x:v>2024-11-30</x:v>
      </x:c>
      <x:c r="C175" s="23" t="str">
        <x:v>5010</x:v>
      </x:c>
      <x:c r="D175" s="23" t="str">
        <x:v>Mano de obra directa</x:v>
      </x:c>
      <x:c r="E175" s="24" t="n">
        <x:v>-602504</x:v>
      </x:c>
      <x:c r="F175" s="23" t="str">
        <x:v>ERP simulado</x:v>
      </x:c>
      <x:c r="G175" s="23" t="str">
        <x:v>Actual</x:v>
      </x:c>
      <x:c r="H175" s="23" t="str">
        <x:v>EUR</x:v>
      </x:c>
    </x:row>
    <x:row r="176">
      <x:c r="A176" s="23" t="str">
        <x:v>2024-11</x:v>
      </x:c>
      <x:c r="B176" s="23" t="str">
        <x:v>2024-11-30</x:v>
      </x:c>
      <x:c r="C176" s="23" t="str">
        <x:v>5020</x:v>
      </x:c>
      <x:c r="D176" s="23" t="str">
        <x:v>Logística y subcontratación</x:v>
      </x:c>
      <x:c r="E176" s="24" t="n">
        <x:v>-213459</x:v>
      </x:c>
      <x:c r="F176" s="23" t="str">
        <x:v>ERP simulado</x:v>
      </x:c>
      <x:c r="G176" s="23" t="str">
        <x:v>Actual</x:v>
      </x:c>
      <x:c r="H176" s="23" t="str">
        <x:v>EUR</x:v>
      </x:c>
    </x:row>
    <x:row r="177">
      <x:c r="A177" s="23" t="str">
        <x:v>2024-11</x:v>
      </x:c>
      <x:c r="B177" s="23" t="str">
        <x:v>2024-11-30</x:v>
      </x:c>
      <x:c r="C177" s="23" t="str">
        <x:v>6000</x:v>
      </x:c>
      <x:c r="D177" s="23" t="str">
        <x:v>Gastos de personal</x:v>
      </x:c>
      <x:c r="E177" s="24" t="n">
        <x:v>-466158</x:v>
      </x:c>
      <x:c r="F177" s="23" t="str">
        <x:v>ERP simulado</x:v>
      </x:c>
      <x:c r="G177" s="23" t="str">
        <x:v>Actual</x:v>
      </x:c>
      <x:c r="H177" s="23" t="str">
        <x:v>EUR</x:v>
      </x:c>
    </x:row>
    <x:row r="178">
      <x:c r="A178" s="23" t="str">
        <x:v>2024-11</x:v>
      </x:c>
      <x:c r="B178" s="23" t="str">
        <x:v>2024-11-30</x:v>
      </x:c>
      <x:c r="C178" s="23" t="str">
        <x:v>6010</x:v>
      </x:c>
      <x:c r="D178" s="23" t="str">
        <x:v>Ventas y marketing</x:v>
      </x:c>
      <x:c r="E178" s="24" t="n">
        <x:v>-117058</x:v>
      </x:c>
      <x:c r="F178" s="23" t="str">
        <x:v>ERP simulado</x:v>
      </x:c>
      <x:c r="G178" s="23" t="str">
        <x:v>Actual</x:v>
      </x:c>
      <x:c r="H178" s="23" t="str">
        <x:v>EUR</x:v>
      </x:c>
    </x:row>
    <x:row r="179">
      <x:c r="A179" s="23" t="str">
        <x:v>2024-11</x:v>
      </x:c>
      <x:c r="B179" s="23" t="str">
        <x:v>2024-11-30</x:v>
      </x:c>
      <x:c r="C179" s="23" t="str">
        <x:v>6020</x:v>
      </x:c>
      <x:c r="D179" s="23" t="str">
        <x:v>IT y sistemas</x:v>
      </x:c>
      <x:c r="E179" s="24" t="n">
        <x:v>-61972</x:v>
      </x:c>
      <x:c r="F179" s="23" t="str">
        <x:v>ERP simulado</x:v>
      </x:c>
      <x:c r="G179" s="23" t="str">
        <x:v>Actual</x:v>
      </x:c>
      <x:c r="H179" s="23" t="str">
        <x:v>EUR</x:v>
      </x:c>
    </x:row>
    <x:row r="180">
      <x:c r="A180" s="23" t="str">
        <x:v>2024-11</x:v>
      </x:c>
      <x:c r="B180" s="23" t="str">
        <x:v>2024-11-30</x:v>
      </x:c>
      <x:c r="C180" s="23" t="str">
        <x:v>6030</x:v>
      </x:c>
      <x:c r="D180" s="23" t="str">
        <x:v>Alquileres e instalaciones</x:v>
      </x:c>
      <x:c r="E180" s="24" t="n">
        <x:v>-41315</x:v>
      </x:c>
      <x:c r="F180" s="23" t="str">
        <x:v>ERP simulado</x:v>
      </x:c>
      <x:c r="G180" s="23" t="str">
        <x:v>Actual</x:v>
      </x:c>
      <x:c r="H180" s="23" t="str">
        <x:v>EUR</x:v>
      </x:c>
    </x:row>
    <x:row r="181">
      <x:c r="A181" s="23" t="str">
        <x:v>2024-11</x:v>
      </x:c>
      <x:c r="B181" s="23" t="str">
        <x:v>2024-11-30</x:v>
      </x:c>
      <x:c r="C181" s="23" t="str">
        <x:v>6040</x:v>
      </x:c>
      <x:c r="D181" s="23" t="str">
        <x:v>Otros gastos operativos</x:v>
      </x:c>
      <x:c r="E181" s="24" t="n">
        <x:v>-82629</x:v>
      </x:c>
      <x:c r="F181" s="23" t="str">
        <x:v>ERP simulado</x:v>
      </x:c>
      <x:c r="G181" s="23" t="str">
        <x:v>Actual</x:v>
      </x:c>
      <x:c r="H181" s="23" t="str">
        <x:v>EUR</x:v>
      </x:c>
    </x:row>
    <x:row r="182">
      <x:c r="A182" s="23" t="str">
        <x:v>2024-11</x:v>
      </x:c>
      <x:c r="B182" s="23" t="str">
        <x:v>2024-11-30</x:v>
      </x:c>
      <x:c r="C182" s="23" t="str">
        <x:v>6100</x:v>
      </x:c>
      <x:c r="D182" s="23" t="str">
        <x:v>Depreciación</x:v>
      </x:c>
      <x:c r="E182" s="24" t="n">
        <x:v>-130000</x:v>
      </x:c>
      <x:c r="F182" s="23" t="str">
        <x:v>ERP simulado</x:v>
      </x:c>
      <x:c r="G182" s="23" t="str">
        <x:v>Actual</x:v>
      </x:c>
      <x:c r="H182" s="23" t="str">
        <x:v>EUR</x:v>
      </x:c>
    </x:row>
    <x:row r="183">
      <x:c r="A183" s="23" t="str">
        <x:v>2024-11</x:v>
      </x:c>
      <x:c r="B183" s="23" t="str">
        <x:v>2024-11-30</x:v>
      </x:c>
      <x:c r="C183" s="23" t="str">
        <x:v>6110</x:v>
      </x:c>
      <x:c r="D183" s="23" t="str">
        <x:v>Amortización</x:v>
      </x:c>
      <x:c r="E183" s="24" t="n">
        <x:v>-25500</x:v>
      </x:c>
      <x:c r="F183" s="23" t="str">
        <x:v>ERP simulado</x:v>
      </x:c>
      <x:c r="G183" s="23" t="str">
        <x:v>Actual</x:v>
      </x:c>
      <x:c r="H183" s="23" t="str">
        <x:v>EUR</x:v>
      </x:c>
    </x:row>
    <x:row r="184">
      <x:c r="A184" s="23" t="str">
        <x:v>2024-11</x:v>
      </x:c>
      <x:c r="B184" s="23" t="str">
        <x:v>2024-11-30</x:v>
      </x:c>
      <x:c r="C184" s="23" t="str">
        <x:v>6200</x:v>
      </x:c>
      <x:c r="D184" s="23" t="str">
        <x:v>Deterioros</x:v>
      </x:c>
      <x:c r="E184" s="24" t="n">
        <x:v>0</x:v>
      </x:c>
      <x:c r="F184" s="23" t="str">
        <x:v>ERP simulado</x:v>
      </x:c>
      <x:c r="G184" s="23" t="str">
        <x:v>Actual</x:v>
      </x:c>
      <x:c r="H184" s="23" t="str">
        <x:v>EUR</x:v>
      </x:c>
    </x:row>
    <x:row r="185">
      <x:c r="A185" s="23" t="str">
        <x:v>2024-11</x:v>
      </x:c>
      <x:c r="B185" s="23" t="str">
        <x:v>2024-11-30</x:v>
      </x:c>
      <x:c r="C185" s="23" t="str">
        <x:v>6300</x:v>
      </x:c>
      <x:c r="D185" s="23" t="str">
        <x:v>Resultado por venta de activos</x:v>
      </x:c>
      <x:c r="E185" s="24" t="n">
        <x:v>0</x:v>
      </x:c>
      <x:c r="F185" s="23" t="str">
        <x:v>ERP simulado</x:v>
      </x:c>
      <x:c r="G185" s="23" t="str">
        <x:v>Actual</x:v>
      </x:c>
      <x:c r="H185" s="23" t="str">
        <x:v>EUR</x:v>
      </x:c>
    </x:row>
    <x:row r="186">
      <x:c r="A186" s="23" t="str">
        <x:v>2024-11</x:v>
      </x:c>
      <x:c r="B186" s="23" t="str">
        <x:v>2024-11-30</x:v>
      </x:c>
      <x:c r="C186" s="23" t="str">
        <x:v>7000</x:v>
      </x:c>
      <x:c r="D186" s="23" t="str">
        <x:v>Gastos financieros</x:v>
      </x:c>
      <x:c r="E186" s="24" t="n">
        <x:v>-36000</x:v>
      </x:c>
      <x:c r="F186" s="23" t="str">
        <x:v>ERP simulado</x:v>
      </x:c>
      <x:c r="G186" s="23" t="str">
        <x:v>Actual</x:v>
      </x:c>
      <x:c r="H186" s="23" t="str">
        <x:v>EUR</x:v>
      </x:c>
    </x:row>
    <x:row r="187">
      <x:c r="A187" s="23" t="str">
        <x:v>2024-11</x:v>
      </x:c>
      <x:c r="B187" s="23" t="str">
        <x:v>2024-11-30</x:v>
      </x:c>
      <x:c r="C187" s="23" t="str">
        <x:v>7100</x:v>
      </x:c>
      <x:c r="D187" s="23" t="str">
        <x:v>Ingresos financieros</x:v>
      </x:c>
      <x:c r="E187" s="24" t="n">
        <x:v>2352</x:v>
      </x:c>
      <x:c r="F187" s="23" t="str">
        <x:v>ERP simulado</x:v>
      </x:c>
      <x:c r="G187" s="23" t="str">
        <x:v>Actual</x:v>
      </x:c>
      <x:c r="H187" s="23" t="str">
        <x:v>EUR</x:v>
      </x:c>
    </x:row>
    <x:row r="188">
      <x:c r="A188" s="23" t="str">
        <x:v>2024-11</x:v>
      </x:c>
      <x:c r="B188" s="23" t="str">
        <x:v>2024-11-30</x:v>
      </x:c>
      <x:c r="C188" s="23" t="str">
        <x:v>8000</x:v>
      </x:c>
      <x:c r="D188" s="23" t="str">
        <x:v>Impuesto sobre beneficios</x:v>
      </x:c>
      <x:c r="E188" s="24" t="n">
        <x:v>-102997</x:v>
      </x:c>
      <x:c r="F188" s="23" t="str">
        <x:v>ERP simulado</x:v>
      </x:c>
      <x:c r="G188" s="23" t="str">
        <x:v>Actual</x:v>
      </x:c>
      <x:c r="H188" s="23" t="str">
        <x:v>EUR</x:v>
      </x:c>
    </x:row>
    <x:row r="189">
      <x:c r="A189" s="23" t="str">
        <x:v>2024-12</x:v>
      </x:c>
      <x:c r="B189" s="23" t="str">
        <x:v>2024-12-31</x:v>
      </x:c>
      <x:c r="C189" s="23" t="str">
        <x:v>4000</x:v>
      </x:c>
      <x:c r="D189" s="23" t="str">
        <x:v>Ingresos por producto</x:v>
      </x:c>
      <x:c r="E189" s="24" t="n">
        <x:v>2722665</x:v>
      </x:c>
      <x:c r="F189" s="23" t="str">
        <x:v>ERP simulado</x:v>
      </x:c>
      <x:c r="G189" s="23" t="str">
        <x:v>Actual</x:v>
      </x:c>
      <x:c r="H189" s="23" t="str">
        <x:v>EUR</x:v>
      </x:c>
    </x:row>
    <x:row r="190">
      <x:c r="A190" s="23" t="str">
        <x:v>2024-12</x:v>
      </x:c>
      <x:c r="B190" s="23" t="str">
        <x:v>2024-12-31</x:v>
      </x:c>
      <x:c r="C190" s="23" t="str">
        <x:v>4010</x:v>
      </x:c>
      <x:c r="D190" s="23" t="str">
        <x:v>Ingresos por servicios</x:v>
      </x:c>
      <x:c r="E190" s="24" t="n">
        <x:v>987015</x:v>
      </x:c>
      <x:c r="F190" s="23" t="str">
        <x:v>ERP simulado</x:v>
      </x:c>
      <x:c r="G190" s="23" t="str">
        <x:v>Actual</x:v>
      </x:c>
      <x:c r="H190" s="23" t="str">
        <x:v>EUR</x:v>
      </x:c>
    </x:row>
    <x:row r="191">
      <x:c r="A191" s="23" t="str">
        <x:v>2024-12</x:v>
      </x:c>
      <x:c r="B191" s="23" t="str">
        <x:v>2024-12-31</x:v>
      </x:c>
      <x:c r="C191" s="23" t="str">
        <x:v>5000</x:v>
      </x:c>
      <x:c r="D191" s="23" t="str">
        <x:v>Materiales directos</x:v>
      </x:c>
      <x:c r="E191" s="24" t="n">
        <x:v>-1354033</x:v>
      </x:c>
      <x:c r="F191" s="23" t="str">
        <x:v>ERP simulado</x:v>
      </x:c>
      <x:c r="G191" s="23" t="str">
        <x:v>Actual</x:v>
      </x:c>
      <x:c r="H191" s="23" t="str">
        <x:v>EUR</x:v>
      </x:c>
    </x:row>
    <x:row r="192">
      <x:c r="A192" s="23" t="str">
        <x:v>2024-12</x:v>
      </x:c>
      <x:c r="B192" s="23" t="str">
        <x:v>2024-12-31</x:v>
      </x:c>
      <x:c r="C192" s="23" t="str">
        <x:v>5010</x:v>
      </x:c>
      <x:c r="D192" s="23" t="str">
        <x:v>Mano de obra directa</x:v>
      </x:c>
      <x:c r="E192" s="24" t="n">
        <x:v>-649194</x:v>
      </x:c>
      <x:c r="F192" s="23" t="str">
        <x:v>ERP simulado</x:v>
      </x:c>
      <x:c r="G192" s="23" t="str">
        <x:v>Actual</x:v>
      </x:c>
      <x:c r="H192" s="23" t="str">
        <x:v>EUR</x:v>
      </x:c>
    </x:row>
    <x:row r="193">
      <x:c r="A193" s="23" t="str">
        <x:v>2024-12</x:v>
      </x:c>
      <x:c r="B193" s="23" t="str">
        <x:v>2024-12-31</x:v>
      </x:c>
      <x:c r="C193" s="23" t="str">
        <x:v>5020</x:v>
      </x:c>
      <x:c r="D193" s="23" t="str">
        <x:v>Logística y subcontratación</x:v>
      </x:c>
      <x:c r="E193" s="24" t="n">
        <x:v>-230000</x:v>
      </x:c>
      <x:c r="F193" s="23" t="str">
        <x:v>ERP simulado</x:v>
      </x:c>
      <x:c r="G193" s="23" t="str">
        <x:v>Actual</x:v>
      </x:c>
      <x:c r="H193" s="23" t="str">
        <x:v>EUR</x:v>
      </x:c>
    </x:row>
    <x:row r="194">
      <x:c r="A194" s="23" t="str">
        <x:v>2024-12</x:v>
      </x:c>
      <x:c r="B194" s="23" t="str">
        <x:v>2024-12-31</x:v>
      </x:c>
      <x:c r="C194" s="23" t="str">
        <x:v>6000</x:v>
      </x:c>
      <x:c r="D194" s="23" t="str">
        <x:v>Gastos de personal</x:v>
      </x:c>
      <x:c r="E194" s="24" t="n">
        <x:v>-501368</x:v>
      </x:c>
      <x:c r="F194" s="23" t="str">
        <x:v>ERP simulado</x:v>
      </x:c>
      <x:c r="G194" s="23" t="str">
        <x:v>Actual</x:v>
      </x:c>
      <x:c r="H194" s="23" t="str">
        <x:v>EUR</x:v>
      </x:c>
    </x:row>
    <x:row r="195">
      <x:c r="A195" s="23" t="str">
        <x:v>2024-12</x:v>
      </x:c>
      <x:c r="B195" s="23" t="str">
        <x:v>2024-12-31</x:v>
      </x:c>
      <x:c r="C195" s="23" t="str">
        <x:v>6010</x:v>
      </x:c>
      <x:c r="D195" s="23" t="str">
        <x:v>Ventas y marketing</x:v>
      </x:c>
      <x:c r="E195" s="24" t="n">
        <x:v>-126129</x:v>
      </x:c>
      <x:c r="F195" s="23" t="str">
        <x:v>ERP simulado</x:v>
      </x:c>
      <x:c r="G195" s="23" t="str">
        <x:v>Actual</x:v>
      </x:c>
      <x:c r="H195" s="23" t="str">
        <x:v>EUR</x:v>
      </x:c>
    </x:row>
    <x:row r="196">
      <x:c r="A196" s="23" t="str">
        <x:v>2024-12</x:v>
      </x:c>
      <x:c r="B196" s="23" t="str">
        <x:v>2024-12-31</x:v>
      </x:c>
      <x:c r="C196" s="23" t="str">
        <x:v>6020</x:v>
      </x:c>
      <x:c r="D196" s="23" t="str">
        <x:v>IT y sistemas</x:v>
      </x:c>
      <x:c r="E196" s="24" t="n">
        <x:v>-66774</x:v>
      </x:c>
      <x:c r="F196" s="23" t="str">
        <x:v>ERP simulado</x:v>
      </x:c>
      <x:c r="G196" s="23" t="str">
        <x:v>Actual</x:v>
      </x:c>
      <x:c r="H196" s="23" t="str">
        <x:v>EUR</x:v>
      </x:c>
    </x:row>
    <x:row r="197">
      <x:c r="A197" s="23" t="str">
        <x:v>2024-12</x:v>
      </x:c>
      <x:c r="B197" s="23" t="str">
        <x:v>2024-12-31</x:v>
      </x:c>
      <x:c r="C197" s="23" t="str">
        <x:v>6030</x:v>
      </x:c>
      <x:c r="D197" s="23" t="str">
        <x:v>Alquileres e instalaciones</x:v>
      </x:c>
      <x:c r="E197" s="24" t="n">
        <x:v>-44516</x:v>
      </x:c>
      <x:c r="F197" s="23" t="str">
        <x:v>ERP simulado</x:v>
      </x:c>
      <x:c r="G197" s="23" t="str">
        <x:v>Actual</x:v>
      </x:c>
      <x:c r="H197" s="23" t="str">
        <x:v>EUR</x:v>
      </x:c>
    </x:row>
    <x:row r="198">
      <x:c r="A198" s="23" t="str">
        <x:v>2024-12</x:v>
      </x:c>
      <x:c r="B198" s="23" t="str">
        <x:v>2024-12-31</x:v>
      </x:c>
      <x:c r="C198" s="23" t="str">
        <x:v>6040</x:v>
      </x:c>
      <x:c r="D198" s="23" t="str">
        <x:v>Otros gastos operativos</x:v>
      </x:c>
      <x:c r="E198" s="24" t="n">
        <x:v>-89032</x:v>
      </x:c>
      <x:c r="F198" s="23" t="str">
        <x:v>ERP simulado</x:v>
      </x:c>
      <x:c r="G198" s="23" t="str">
        <x:v>Actual</x:v>
      </x:c>
      <x:c r="H198" s="23" t="str">
        <x:v>EUR</x:v>
      </x:c>
    </x:row>
    <x:row r="199">
      <x:c r="A199" s="23" t="str">
        <x:v>2024-12</x:v>
      </x:c>
      <x:c r="B199" s="23" t="str">
        <x:v>2024-12-31</x:v>
      </x:c>
      <x:c r="C199" s="23" t="str">
        <x:v>6100</x:v>
      </x:c>
      <x:c r="D199" s="23" t="str">
        <x:v>Depreciación</x:v>
      </x:c>
      <x:c r="E199" s="24" t="n">
        <x:v>-132500</x:v>
      </x:c>
      <x:c r="F199" s="23" t="str">
        <x:v>ERP simulado</x:v>
      </x:c>
      <x:c r="G199" s="23" t="str">
        <x:v>Actual</x:v>
      </x:c>
      <x:c r="H199" s="23" t="str">
        <x:v>EUR</x:v>
      </x:c>
    </x:row>
    <x:row r="200">
      <x:c r="A200" s="23" t="str">
        <x:v>2024-12</x:v>
      </x:c>
      <x:c r="B200" s="23" t="str">
        <x:v>2024-12-31</x:v>
      </x:c>
      <x:c r="C200" s="23" t="str">
        <x:v>6110</x:v>
      </x:c>
      <x:c r="D200" s="23" t="str">
        <x:v>Amortización</x:v>
      </x:c>
      <x:c r="E200" s="24" t="n">
        <x:v>-25850</x:v>
      </x:c>
      <x:c r="F200" s="23" t="str">
        <x:v>ERP simulado</x:v>
      </x:c>
      <x:c r="G200" s="23" t="str">
        <x:v>Actual</x:v>
      </x:c>
      <x:c r="H200" s="23" t="str">
        <x:v>EUR</x:v>
      </x:c>
    </x:row>
    <x:row r="201">
      <x:c r="A201" s="23" t="str">
        <x:v>2024-12</x:v>
      </x:c>
      <x:c r="B201" s="23" t="str">
        <x:v>2024-12-31</x:v>
      </x:c>
      <x:c r="C201" s="23" t="str">
        <x:v>6200</x:v>
      </x:c>
      <x:c r="D201" s="23" t="str">
        <x:v>Deterioros</x:v>
      </x:c>
      <x:c r="E201" s="24" t="n">
        <x:v>0</x:v>
      </x:c>
      <x:c r="F201" s="23" t="str">
        <x:v>ERP simulado</x:v>
      </x:c>
      <x:c r="G201" s="23" t="str">
        <x:v>Actual</x:v>
      </x:c>
      <x:c r="H201" s="23" t="str">
        <x:v>EUR</x:v>
      </x:c>
    </x:row>
    <x:row r="202">
      <x:c r="A202" s="23" t="str">
        <x:v>2024-12</x:v>
      </x:c>
      <x:c r="B202" s="23" t="str">
        <x:v>2024-12-31</x:v>
      </x:c>
      <x:c r="C202" s="23" t="str">
        <x:v>6300</x:v>
      </x:c>
      <x:c r="D202" s="23" t="str">
        <x:v>Resultado por venta de activos</x:v>
      </x:c>
      <x:c r="E202" s="24" t="n">
        <x:v>0</x:v>
      </x:c>
      <x:c r="F202" s="23" t="str">
        <x:v>ERP simulado</x:v>
      </x:c>
      <x:c r="G202" s="23" t="str">
        <x:v>Actual</x:v>
      </x:c>
      <x:c r="H202" s="23" t="str">
        <x:v>EUR</x:v>
      </x:c>
    </x:row>
    <x:row r="203">
      <x:c r="A203" s="23" t="str">
        <x:v>2024-12</x:v>
      </x:c>
      <x:c r="B203" s="23" t="str">
        <x:v>2024-12-31</x:v>
      </x:c>
      <x:c r="C203" s="23" t="str">
        <x:v>7000</x:v>
      </x:c>
      <x:c r="D203" s="23" t="str">
        <x:v>Gastos financieros</x:v>
      </x:c>
      <x:c r="E203" s="24" t="n">
        <x:v>-36000</x:v>
      </x:c>
      <x:c r="F203" s="23" t="str">
        <x:v>ERP simulado</x:v>
      </x:c>
      <x:c r="G203" s="23" t="str">
        <x:v>Actual</x:v>
      </x:c>
      <x:c r="H203" s="23" t="str">
        <x:v>EUR</x:v>
      </x:c>
    </x:row>
    <x:row r="204">
      <x:c r="A204" s="23" t="str">
        <x:v>2024-12</x:v>
      </x:c>
      <x:c r="B204" s="23" t="str">
        <x:v>2024-12-31</x:v>
      </x:c>
      <x:c r="C204" s="23" t="str">
        <x:v>7100</x:v>
      </x:c>
      <x:c r="D204" s="23" t="str">
        <x:v>Ingresos financieros</x:v>
      </x:c>
      <x:c r="E204" s="24" t="n">
        <x:v>2293</x:v>
      </x:c>
      <x:c r="F204" s="23" t="str">
        <x:v>ERP simulado</x:v>
      </x:c>
      <x:c r="G204" s="23" t="str">
        <x:v>Actual</x:v>
      </x:c>
      <x:c r="H204" s="23" t="str">
        <x:v>EUR</x:v>
      </x:c>
    </x:row>
    <x:row r="205">
      <x:c r="A205" s="23" t="str">
        <x:v>2024-12</x:v>
      </x:c>
      <x:c r="B205" s="23" t="str">
        <x:v>2024-12-31</x:v>
      </x:c>
      <x:c r="C205" s="23" t="str">
        <x:v>8000</x:v>
      </x:c>
      <x:c r="D205" s="23" t="str">
        <x:v>Impuesto sobre beneficios</x:v>
      </x:c>
      <x:c r="E205" s="24" t="n">
        <x:v>-114144</x:v>
      </x:c>
      <x:c r="F205" s="23" t="str">
        <x:v>ERP simulado</x:v>
      </x:c>
      <x:c r="G205" s="23" t="str">
        <x:v>Actual</x:v>
      </x:c>
      <x:c r="H205" s="23" t="str">
        <x:v>EUR</x:v>
      </x:c>
    </x:row>
    <x:row r="206">
      <x:c r="A206" s="23" t="str">
        <x:v>2025-01</x:v>
      </x:c>
      <x:c r="B206" s="23" t="str">
        <x:v>2025-01-31</x:v>
      </x:c>
      <x:c r="C206" s="23" t="str">
        <x:v>4000</x:v>
      </x:c>
      <x:c r="D206" s="23" t="str">
        <x:v>Ingresos por producto</x:v>
      </x:c>
      <x:c r="E206" s="24" t="n">
        <x:v>2056427</x:v>
      </x:c>
      <x:c r="F206" s="23" t="str">
        <x:v>ERP simulado</x:v>
      </x:c>
      <x:c r="G206" s="23" t="str">
        <x:v>Actual</x:v>
      </x:c>
      <x:c r="H206" s="23" t="str">
        <x:v>EUR</x:v>
      </x:c>
    </x:row>
    <x:row r="207">
      <x:c r="A207" s="23" t="str">
        <x:v>2025-01</x:v>
      </x:c>
      <x:c r="B207" s="23" t="str">
        <x:v>2025-01-31</x:v>
      </x:c>
      <x:c r="C207" s="23" t="str">
        <x:v>4010</x:v>
      </x:c>
      <x:c r="D207" s="23" t="str">
        <x:v>Ingresos por servicios</x:v>
      </x:c>
      <x:c r="E207" s="24" t="n">
        <x:v>741493</x:v>
      </x:c>
      <x:c r="F207" s="23" t="str">
        <x:v>ERP simulado</x:v>
      </x:c>
      <x:c r="G207" s="23" t="str">
        <x:v>Actual</x:v>
      </x:c>
      <x:c r="H207" s="23" t="str">
        <x:v>EUR</x:v>
      </x:c>
    </x:row>
    <x:row r="208">
      <x:c r="A208" s="23" t="str">
        <x:v>2025-01</x:v>
      </x:c>
      <x:c r="B208" s="23" t="str">
        <x:v>2025-01-31</x:v>
      </x:c>
      <x:c r="C208" s="23" t="str">
        <x:v>5000</x:v>
      </x:c>
      <x:c r="D208" s="23" t="str">
        <x:v>Materiales directos</x:v>
      </x:c>
      <x:c r="E208" s="24" t="n">
        <x:v>-1021241</x:v>
      </x:c>
      <x:c r="F208" s="23" t="str">
        <x:v>ERP simulado</x:v>
      </x:c>
      <x:c r="G208" s="23" t="str">
        <x:v>Actual</x:v>
      </x:c>
      <x:c r="H208" s="23" t="str">
        <x:v>EUR</x:v>
      </x:c>
    </x:row>
    <x:row r="209">
      <x:c r="A209" s="23" t="str">
        <x:v>2025-01</x:v>
      </x:c>
      <x:c r="B209" s="23" t="str">
        <x:v>2025-01-31</x:v>
      </x:c>
      <x:c r="C209" s="23" t="str">
        <x:v>5010</x:v>
      </x:c>
      <x:c r="D209" s="23" t="str">
        <x:v>Mano de obra directa</x:v>
      </x:c>
      <x:c r="E209" s="24" t="n">
        <x:v>-489636</x:v>
      </x:c>
      <x:c r="F209" s="23" t="str">
        <x:v>ERP simulado</x:v>
      </x:c>
      <x:c r="G209" s="23" t="str">
        <x:v>Actual</x:v>
      </x:c>
      <x:c r="H209" s="23" t="str">
        <x:v>EUR</x:v>
      </x:c>
    </x:row>
    <x:row r="210">
      <x:c r="A210" s="23" t="str">
        <x:v>2025-01</x:v>
      </x:c>
      <x:c r="B210" s="23" t="str">
        <x:v>2025-01-31</x:v>
      </x:c>
      <x:c r="C210" s="23" t="str">
        <x:v>5020</x:v>
      </x:c>
      <x:c r="D210" s="23" t="str">
        <x:v>Logística y subcontratación</x:v>
      </x:c>
      <x:c r="E210" s="24" t="n">
        <x:v>-173471</x:v>
      </x:c>
      <x:c r="F210" s="23" t="str">
        <x:v>ERP simulado</x:v>
      </x:c>
      <x:c r="G210" s="23" t="str">
        <x:v>Actual</x:v>
      </x:c>
      <x:c r="H210" s="23" t="str">
        <x:v>EUR</x:v>
      </x:c>
    </x:row>
    <x:row r="211">
      <x:c r="A211" s="23" t="str">
        <x:v>2025-01</x:v>
      </x:c>
      <x:c r="B211" s="23" t="str">
        <x:v>2025-01-31</x:v>
      </x:c>
      <x:c r="C211" s="23" t="str">
        <x:v>6000</x:v>
      </x:c>
      <x:c r="D211" s="23" t="str">
        <x:v>Gastos de personal</x:v>
      </x:c>
      <x:c r="E211" s="24" t="n">
        <x:v>-377775</x:v>
      </x:c>
      <x:c r="F211" s="23" t="str">
        <x:v>ERP simulado</x:v>
      </x:c>
      <x:c r="G211" s="23" t="str">
        <x:v>Actual</x:v>
      </x:c>
      <x:c r="H211" s="23" t="str">
        <x:v>EUR</x:v>
      </x:c>
    </x:row>
    <x:row r="212">
      <x:c r="A212" s="23" t="str">
        <x:v>2025-01</x:v>
      </x:c>
      <x:c r="B212" s="23" t="str">
        <x:v>2025-01-31</x:v>
      </x:c>
      <x:c r="C212" s="23" t="str">
        <x:v>6010</x:v>
      </x:c>
      <x:c r="D212" s="23" t="str">
        <x:v>Ventas y marketing</x:v>
      </x:c>
      <x:c r="E212" s="24" t="n">
        <x:v>-95129</x:v>
      </x:c>
      <x:c r="F212" s="23" t="str">
        <x:v>ERP simulado</x:v>
      </x:c>
      <x:c r="G212" s="23" t="str">
        <x:v>Actual</x:v>
      </x:c>
      <x:c r="H212" s="23" t="str">
        <x:v>EUR</x:v>
      </x:c>
    </x:row>
    <x:row r="213">
      <x:c r="A213" s="23" t="str">
        <x:v>2025-01</x:v>
      </x:c>
      <x:c r="B213" s="23" t="str">
        <x:v>2025-01-31</x:v>
      </x:c>
      <x:c r="C213" s="23" t="str">
        <x:v>6020</x:v>
      </x:c>
      <x:c r="D213" s="23" t="str">
        <x:v>IT y sistemas</x:v>
      </x:c>
      <x:c r="E213" s="24" t="n">
        <x:v>-50363</x:v>
      </x:c>
      <x:c r="F213" s="23" t="str">
        <x:v>ERP simulado</x:v>
      </x:c>
      <x:c r="G213" s="23" t="str">
        <x:v>Actual</x:v>
      </x:c>
      <x:c r="H213" s="23" t="str">
        <x:v>EUR</x:v>
      </x:c>
    </x:row>
    <x:row r="214">
      <x:c r="A214" s="23" t="str">
        <x:v>2025-01</x:v>
      </x:c>
      <x:c r="B214" s="23" t="str">
        <x:v>2025-01-31</x:v>
      </x:c>
      <x:c r="C214" s="23" t="str">
        <x:v>6030</x:v>
      </x:c>
      <x:c r="D214" s="23" t="str">
        <x:v>Alquileres e instalaciones</x:v>
      </x:c>
      <x:c r="E214" s="24" t="n">
        <x:v>-33575</x:v>
      </x:c>
      <x:c r="F214" s="23" t="str">
        <x:v>ERP simulado</x:v>
      </x:c>
      <x:c r="G214" s="23" t="str">
        <x:v>Actual</x:v>
      </x:c>
      <x:c r="H214" s="23" t="str">
        <x:v>EUR</x:v>
      </x:c>
    </x:row>
    <x:row r="215">
      <x:c r="A215" s="23" t="str">
        <x:v>2025-01</x:v>
      </x:c>
      <x:c r="B215" s="23" t="str">
        <x:v>2025-01-31</x:v>
      </x:c>
      <x:c r="C215" s="23" t="str">
        <x:v>6040</x:v>
      </x:c>
      <x:c r="D215" s="23" t="str">
        <x:v>Otros gastos operativos</x:v>
      </x:c>
      <x:c r="E215" s="24" t="n">
        <x:v>-67150</x:v>
      </x:c>
      <x:c r="F215" s="23" t="str">
        <x:v>ERP simulado</x:v>
      </x:c>
      <x:c r="G215" s="23" t="str">
        <x:v>Actual</x:v>
      </x:c>
      <x:c r="H215" s="23" t="str">
        <x:v>EUR</x:v>
      </x:c>
    </x:row>
    <x:row r="216">
      <x:c r="A216" s="23" t="str">
        <x:v>2025-01</x:v>
      </x:c>
      <x:c r="B216" s="23" t="str">
        <x:v>2025-01-31</x:v>
      </x:c>
      <x:c r="C216" s="23" t="str">
        <x:v>6100</x:v>
      </x:c>
      <x:c r="D216" s="23" t="str">
        <x:v>Depreciación</x:v>
      </x:c>
      <x:c r="E216" s="24" t="n">
        <x:v>-135000</x:v>
      </x:c>
      <x:c r="F216" s="23" t="str">
        <x:v>ERP simulado</x:v>
      </x:c>
      <x:c r="G216" s="23" t="str">
        <x:v>Actual</x:v>
      </x:c>
      <x:c r="H216" s="23" t="str">
        <x:v>EUR</x:v>
      </x:c>
    </x:row>
    <x:row r="217">
      <x:c r="A217" s="23" t="str">
        <x:v>2025-01</x:v>
      </x:c>
      <x:c r="B217" s="23" t="str">
        <x:v>2025-01-31</x:v>
      </x:c>
      <x:c r="C217" s="23" t="str">
        <x:v>6110</x:v>
      </x:c>
      <x:c r="D217" s="23" t="str">
        <x:v>Amortización</x:v>
      </x:c>
      <x:c r="E217" s="24" t="n">
        <x:v>-26200</x:v>
      </x:c>
      <x:c r="F217" s="23" t="str">
        <x:v>ERP simulado</x:v>
      </x:c>
      <x:c r="G217" s="23" t="str">
        <x:v>Actual</x:v>
      </x:c>
      <x:c r="H217" s="23" t="str">
        <x:v>EUR</x:v>
      </x:c>
    </x:row>
    <x:row r="218">
      <x:c r="A218" s="23" t="str">
        <x:v>2025-01</x:v>
      </x:c>
      <x:c r="B218" s="23" t="str">
        <x:v>2025-01-31</x:v>
      </x:c>
      <x:c r="C218" s="23" t="str">
        <x:v>6200</x:v>
      </x:c>
      <x:c r="D218" s="23" t="str">
        <x:v>Deterioros</x:v>
      </x:c>
      <x:c r="E218" s="24" t="n">
        <x:v>0</x:v>
      </x:c>
      <x:c r="F218" s="23" t="str">
        <x:v>ERP simulado</x:v>
      </x:c>
      <x:c r="G218" s="23" t="str">
        <x:v>Actual</x:v>
      </x:c>
      <x:c r="H218" s="23" t="str">
        <x:v>EUR</x:v>
      </x:c>
    </x:row>
    <x:row r="219">
      <x:c r="A219" s="23" t="str">
        <x:v>2025-01</x:v>
      </x:c>
      <x:c r="B219" s="23" t="str">
        <x:v>2025-01-31</x:v>
      </x:c>
      <x:c r="C219" s="23" t="str">
        <x:v>6300</x:v>
      </x:c>
      <x:c r="D219" s="23" t="str">
        <x:v>Resultado por venta de activos</x:v>
      </x:c>
      <x:c r="E219" s="24" t="n">
        <x:v>0</x:v>
      </x:c>
      <x:c r="F219" s="23" t="str">
        <x:v>ERP simulado</x:v>
      </x:c>
      <x:c r="G219" s="23" t="str">
        <x:v>Actual</x:v>
      </x:c>
      <x:c r="H219" s="23" t="str">
        <x:v>EUR</x:v>
      </x:c>
    </x:row>
    <x:row r="220">
      <x:c r="A220" s="23" t="str">
        <x:v>2025-01</x:v>
      </x:c>
      <x:c r="B220" s="23" t="str">
        <x:v>2025-01-31</x:v>
      </x:c>
      <x:c r="C220" s="23" t="str">
        <x:v>7000</x:v>
      </x:c>
      <x:c r="D220" s="23" t="str">
        <x:v>Gastos financieros</x:v>
      </x:c>
      <x:c r="E220" s="24" t="n">
        <x:v>-36000</x:v>
      </x:c>
      <x:c r="F220" s="23" t="str">
        <x:v>ERP simulado</x:v>
      </x:c>
      <x:c r="G220" s="23" t="str">
        <x:v>Actual</x:v>
      </x:c>
      <x:c r="H220" s="23" t="str">
        <x:v>EUR</x:v>
      </x:c>
    </x:row>
    <x:row r="221">
      <x:c r="A221" s="23" t="str">
        <x:v>2025-01</x:v>
      </x:c>
      <x:c r="B221" s="23" t="str">
        <x:v>2025-01-31</x:v>
      </x:c>
      <x:c r="C221" s="23" t="str">
        <x:v>7100</x:v>
      </x:c>
      <x:c r="D221" s="23" t="str">
        <x:v>Ingresos financieros</x:v>
      </x:c>
      <x:c r="E221" s="24" t="n">
        <x:v>2197</x:v>
      </x:c>
      <x:c r="F221" s="23" t="str">
        <x:v>ERP simulado</x:v>
      </x:c>
      <x:c r="G221" s="23" t="str">
        <x:v>Actual</x:v>
      </x:c>
      <x:c r="H221" s="23" t="str">
        <x:v>EUR</x:v>
      </x:c>
    </x:row>
    <x:row r="222">
      <x:c r="A222" s="23" t="str">
        <x:v>2025-01</x:v>
      </x:c>
      <x:c r="B222" s="23" t="str">
        <x:v>2025-01-31</x:v>
      </x:c>
      <x:c r="C222" s="23" t="str">
        <x:v>8000</x:v>
      </x:c>
      <x:c r="D222" s="23" t="str">
        <x:v>Impuesto sobre beneficios</x:v>
      </x:c>
      <x:c r="E222" s="24" t="n">
        <x:v>-73644</x:v>
      </x:c>
      <x:c r="F222" s="23" t="str">
        <x:v>ERP simulado</x:v>
      </x:c>
      <x:c r="G222" s="23" t="str">
        <x:v>Actual</x:v>
      </x:c>
      <x:c r="H222" s="23" t="str">
        <x:v>EUR</x:v>
      </x:c>
    </x:row>
    <x:row r="223">
      <x:c r="A223" s="23" t="str">
        <x:v>2025-02</x:v>
      </x:c>
      <x:c r="B223" s="23" t="str">
        <x:v>2025-02-28</x:v>
      </x:c>
      <x:c r="C223" s="23" t="str">
        <x:v>4000</x:v>
      </x:c>
      <x:c r="D223" s="23" t="str">
        <x:v>Ingresos por producto</x:v>
      </x:c>
      <x:c r="E223" s="24" t="n">
        <x:v>2135123</x:v>
      </x:c>
      <x:c r="F223" s="23" t="str">
        <x:v>ERP simulado</x:v>
      </x:c>
      <x:c r="G223" s="23" t="str">
        <x:v>Actual</x:v>
      </x:c>
      <x:c r="H223" s="23" t="str">
        <x:v>EUR</x:v>
      </x:c>
    </x:row>
    <x:row r="224">
      <x:c r="A224" s="23" t="str">
        <x:v>2025-02</x:v>
      </x:c>
      <x:c r="B224" s="23" t="str">
        <x:v>2025-02-28</x:v>
      </x:c>
      <x:c r="C224" s="23" t="str">
        <x:v>4010</x:v>
      </x:c>
      <x:c r="D224" s="23" t="str">
        <x:v>Ingresos por servicios</x:v>
      </x:c>
      <x:c r="E224" s="24" t="n">
        <x:v>772243</x:v>
      </x:c>
      <x:c r="F224" s="23" t="str">
        <x:v>ERP simulado</x:v>
      </x:c>
      <x:c r="G224" s="23" t="str">
        <x:v>Actual</x:v>
      </x:c>
      <x:c r="H224" s="23" t="str">
        <x:v>EUR</x:v>
      </x:c>
    </x:row>
    <x:row r="225">
      <x:c r="A225" s="23" t="str">
        <x:v>2025-02</x:v>
      </x:c>
      <x:c r="B225" s="23" t="str">
        <x:v>2025-02-28</x:v>
      </x:c>
      <x:c r="C225" s="23" t="str">
        <x:v>5000</x:v>
      </x:c>
      <x:c r="D225" s="23" t="str">
        <x:v>Materiales directos</x:v>
      </x:c>
      <x:c r="E225" s="24" t="n">
        <x:v>-1061189</x:v>
      </x:c>
      <x:c r="F225" s="23" t="str">
        <x:v>ERP simulado</x:v>
      </x:c>
      <x:c r="G225" s="23" t="str">
        <x:v>Actual</x:v>
      </x:c>
      <x:c r="H225" s="23" t="str">
        <x:v>EUR</x:v>
      </x:c>
    </x:row>
    <x:row r="226">
      <x:c r="A226" s="23" t="str">
        <x:v>2025-02</x:v>
      </x:c>
      <x:c r="B226" s="23" t="str">
        <x:v>2025-02-28</x:v>
      </x:c>
      <x:c r="C226" s="23" t="str">
        <x:v>5010</x:v>
      </x:c>
      <x:c r="D226" s="23" t="str">
        <x:v>Mano de obra directa</x:v>
      </x:c>
      <x:c r="E226" s="24" t="n">
        <x:v>-508789</x:v>
      </x:c>
      <x:c r="F226" s="23" t="str">
        <x:v>ERP simulado</x:v>
      </x:c>
      <x:c r="G226" s="23" t="str">
        <x:v>Actual</x:v>
      </x:c>
      <x:c r="H226" s="23" t="str">
        <x:v>EUR</x:v>
      </x:c>
    </x:row>
    <x:row r="227">
      <x:c r="A227" s="23" t="str">
        <x:v>2025-02</x:v>
      </x:c>
      <x:c r="B227" s="23" t="str">
        <x:v>2025-02-28</x:v>
      </x:c>
      <x:c r="C227" s="23" t="str">
        <x:v>5020</x:v>
      </x:c>
      <x:c r="D227" s="23" t="str">
        <x:v>Logística y subcontratación</x:v>
      </x:c>
      <x:c r="E227" s="24" t="n">
        <x:v>-180257</x:v>
      </x:c>
      <x:c r="F227" s="23" t="str">
        <x:v>ERP simulado</x:v>
      </x:c>
      <x:c r="G227" s="23" t="str">
        <x:v>Actual</x:v>
      </x:c>
      <x:c r="H227" s="23" t="str">
        <x:v>EUR</x:v>
      </x:c>
    </x:row>
    <x:row r="228">
      <x:c r="A228" s="23" t="str">
        <x:v>2025-02</x:v>
      </x:c>
      <x:c r="B228" s="23" t="str">
        <x:v>2025-02-28</x:v>
      </x:c>
      <x:c r="C228" s="23" t="str">
        <x:v>6000</x:v>
      </x:c>
      <x:c r="D228" s="23" t="str">
        <x:v>Gastos de personal</x:v>
      </x:c>
      <x:c r="E228" s="24" t="n">
        <x:v>-392529</x:v>
      </x:c>
      <x:c r="F228" s="23" t="str">
        <x:v>ERP simulado</x:v>
      </x:c>
      <x:c r="G228" s="23" t="str">
        <x:v>Actual</x:v>
      </x:c>
      <x:c r="H228" s="23" t="str">
        <x:v>EUR</x:v>
      </x:c>
    </x:row>
    <x:row r="229">
      <x:c r="A229" s="23" t="str">
        <x:v>2025-02</x:v>
      </x:c>
      <x:c r="B229" s="23" t="str">
        <x:v>2025-02-28</x:v>
      </x:c>
      <x:c r="C229" s="23" t="str">
        <x:v>6010</x:v>
      </x:c>
      <x:c r="D229" s="23" t="str">
        <x:v>Ventas y marketing</x:v>
      </x:c>
      <x:c r="E229" s="24" t="n">
        <x:v>-98850</x:v>
      </x:c>
      <x:c r="F229" s="23" t="str">
        <x:v>ERP simulado</x:v>
      </x:c>
      <x:c r="G229" s="23" t="str">
        <x:v>Actual</x:v>
      </x:c>
      <x:c r="H229" s="23" t="str">
        <x:v>EUR</x:v>
      </x:c>
    </x:row>
    <x:row r="230">
      <x:c r="A230" s="23" t="str">
        <x:v>2025-02</x:v>
      </x:c>
      <x:c r="B230" s="23" t="str">
        <x:v>2025-02-28</x:v>
      </x:c>
      <x:c r="C230" s="23" t="str">
        <x:v>6020</x:v>
      </x:c>
      <x:c r="D230" s="23" t="str">
        <x:v>IT y sistemas</x:v>
      </x:c>
      <x:c r="E230" s="24" t="n">
        <x:v>-52333</x:v>
      </x:c>
      <x:c r="F230" s="23" t="str">
        <x:v>ERP simulado</x:v>
      </x:c>
      <x:c r="G230" s="23" t="str">
        <x:v>Actual</x:v>
      </x:c>
      <x:c r="H230" s="23" t="str">
        <x:v>EUR</x:v>
      </x:c>
    </x:row>
    <x:row r="231">
      <x:c r="A231" s="23" t="str">
        <x:v>2025-02</x:v>
      </x:c>
      <x:c r="B231" s="23" t="str">
        <x:v>2025-02-28</x:v>
      </x:c>
      <x:c r="C231" s="23" t="str">
        <x:v>6030</x:v>
      </x:c>
      <x:c r="D231" s="23" t="str">
        <x:v>Alquileres e instalaciones</x:v>
      </x:c>
      <x:c r="E231" s="24" t="n">
        <x:v>-34888</x:v>
      </x:c>
      <x:c r="F231" s="23" t="str">
        <x:v>ERP simulado</x:v>
      </x:c>
      <x:c r="G231" s="23" t="str">
        <x:v>Actual</x:v>
      </x:c>
      <x:c r="H231" s="23" t="str">
        <x:v>EUR</x:v>
      </x:c>
    </x:row>
    <x:row r="232">
      <x:c r="A232" s="23" t="str">
        <x:v>2025-02</x:v>
      </x:c>
      <x:c r="B232" s="23" t="str">
        <x:v>2025-02-28</x:v>
      </x:c>
      <x:c r="C232" s="23" t="str">
        <x:v>6040</x:v>
      </x:c>
      <x:c r="D232" s="23" t="str">
        <x:v>Otros gastos operativos</x:v>
      </x:c>
      <x:c r="E232" s="24" t="n">
        <x:v>-69777</x:v>
      </x:c>
      <x:c r="F232" s="23" t="str">
        <x:v>ERP simulado</x:v>
      </x:c>
      <x:c r="G232" s="23" t="str">
        <x:v>Actual</x:v>
      </x:c>
      <x:c r="H232" s="23" t="str">
        <x:v>EUR</x:v>
      </x:c>
    </x:row>
    <x:row r="233">
      <x:c r="A233" s="23" t="str">
        <x:v>2025-02</x:v>
      </x:c>
      <x:c r="B233" s="23" t="str">
        <x:v>2025-02-28</x:v>
      </x:c>
      <x:c r="C233" s="23" t="str">
        <x:v>6100</x:v>
      </x:c>
      <x:c r="D233" s="23" t="str">
        <x:v>Depreciación</x:v>
      </x:c>
      <x:c r="E233" s="24" t="n">
        <x:v>-137500</x:v>
      </x:c>
      <x:c r="F233" s="23" t="str">
        <x:v>ERP simulado</x:v>
      </x:c>
      <x:c r="G233" s="23" t="str">
        <x:v>Actual</x:v>
      </x:c>
      <x:c r="H233" s="23" t="str">
        <x:v>EUR</x:v>
      </x:c>
    </x:row>
    <x:row r="234">
      <x:c r="A234" s="23" t="str">
        <x:v>2025-02</x:v>
      </x:c>
      <x:c r="B234" s="23" t="str">
        <x:v>2025-02-28</x:v>
      </x:c>
      <x:c r="C234" s="23" t="str">
        <x:v>6110</x:v>
      </x:c>
      <x:c r="D234" s="23" t="str">
        <x:v>Amortización</x:v>
      </x:c>
      <x:c r="E234" s="24" t="n">
        <x:v>-26550</x:v>
      </x:c>
      <x:c r="F234" s="23" t="str">
        <x:v>ERP simulado</x:v>
      </x:c>
      <x:c r="G234" s="23" t="str">
        <x:v>Actual</x:v>
      </x:c>
      <x:c r="H234" s="23" t="str">
        <x:v>EUR</x:v>
      </x:c>
    </x:row>
    <x:row r="235">
      <x:c r="A235" s="23" t="str">
        <x:v>2025-02</x:v>
      </x:c>
      <x:c r="B235" s="23" t="str">
        <x:v>2025-02-28</x:v>
      </x:c>
      <x:c r="C235" s="23" t="str">
        <x:v>6200</x:v>
      </x:c>
      <x:c r="D235" s="23" t="str">
        <x:v>Deterioros</x:v>
      </x:c>
      <x:c r="E235" s="24" t="n">
        <x:v>0</x:v>
      </x:c>
      <x:c r="F235" s="23" t="str">
        <x:v>ERP simulado</x:v>
      </x:c>
      <x:c r="G235" s="23" t="str">
        <x:v>Actual</x:v>
      </x:c>
      <x:c r="H235" s="23" t="str">
        <x:v>EUR</x:v>
      </x:c>
    </x:row>
    <x:row r="236">
      <x:c r="A236" s="23" t="str">
        <x:v>2025-02</x:v>
      </x:c>
      <x:c r="B236" s="23" t="str">
        <x:v>2025-02-28</x:v>
      </x:c>
      <x:c r="C236" s="23" t="str">
        <x:v>6300</x:v>
      </x:c>
      <x:c r="D236" s="23" t="str">
        <x:v>Resultado por venta de activos</x:v>
      </x:c>
      <x:c r="E236" s="24" t="n">
        <x:v>0</x:v>
      </x:c>
      <x:c r="F236" s="23" t="str">
        <x:v>ERP simulado</x:v>
      </x:c>
      <x:c r="G236" s="23" t="str">
        <x:v>Actual</x:v>
      </x:c>
      <x:c r="H236" s="23" t="str">
        <x:v>EUR</x:v>
      </x:c>
    </x:row>
    <x:row r="237">
      <x:c r="A237" s="23" t="str">
        <x:v>2025-02</x:v>
      </x:c>
      <x:c r="B237" s="23" t="str">
        <x:v>2025-02-28</x:v>
      </x:c>
      <x:c r="C237" s="23" t="str">
        <x:v>7000</x:v>
      </x:c>
      <x:c r="D237" s="23" t="str">
        <x:v>Gastos financieros</x:v>
      </x:c>
      <x:c r="E237" s="24" t="n">
        <x:v>-36000</x:v>
      </x:c>
      <x:c r="F237" s="23" t="str">
        <x:v>ERP simulado</x:v>
      </x:c>
      <x:c r="G237" s="23" t="str">
        <x:v>Actual</x:v>
      </x:c>
      <x:c r="H237" s="23" t="str">
        <x:v>EUR</x:v>
      </x:c>
    </x:row>
    <x:row r="238">
      <x:c r="A238" s="23" t="str">
        <x:v>2025-02</x:v>
      </x:c>
      <x:c r="B238" s="23" t="str">
        <x:v>2025-02-28</x:v>
      </x:c>
      <x:c r="C238" s="23" t="str">
        <x:v>7100</x:v>
      </x:c>
      <x:c r="D238" s="23" t="str">
        <x:v>Ingresos financieros</x:v>
      </x:c>
      <x:c r="E238" s="24" t="n">
        <x:v>3602</x:v>
      </x:c>
      <x:c r="F238" s="23" t="str">
        <x:v>ERP simulado</x:v>
      </x:c>
      <x:c r="G238" s="23" t="str">
        <x:v>Actual</x:v>
      </x:c>
      <x:c r="H238" s="23" t="str">
        <x:v>EUR</x:v>
      </x:c>
    </x:row>
    <x:row r="239">
      <x:c r="A239" s="23" t="str">
        <x:v>2025-02</x:v>
      </x:c>
      <x:c r="B239" s="23" t="str">
        <x:v>2025-02-28</x:v>
      </x:c>
      <x:c r="C239" s="23" t="str">
        <x:v>8000</x:v>
      </x:c>
      <x:c r="D239" s="23" t="str">
        <x:v>Impuesto sobre beneficios</x:v>
      </x:c>
      <x:c r="E239" s="24" t="n">
        <x:v>-78077</x:v>
      </x:c>
      <x:c r="F239" s="23" t="str">
        <x:v>ERP simulado</x:v>
      </x:c>
      <x:c r="G239" s="23" t="str">
        <x:v>Actual</x:v>
      </x:c>
      <x:c r="H239" s="23" t="str">
        <x:v>EUR</x:v>
      </x:c>
    </x:row>
    <x:row r="240">
      <x:c r="A240" s="23" t="str">
        <x:v>2025-03</x:v>
      </x:c>
      <x:c r="B240" s="23" t="str">
        <x:v>2025-03-31</x:v>
      </x:c>
      <x:c r="C240" s="23" t="str">
        <x:v>4000</x:v>
      </x:c>
      <x:c r="D240" s="23" t="str">
        <x:v>Ingresos por producto</x:v>
      </x:c>
      <x:c r="E240" s="24" t="n">
        <x:v>2301744</x:v>
      </x:c>
      <x:c r="F240" s="23" t="str">
        <x:v>ERP simulado</x:v>
      </x:c>
      <x:c r="G240" s="23" t="str">
        <x:v>Actual</x:v>
      </x:c>
      <x:c r="H240" s="23" t="str">
        <x:v>EUR</x:v>
      </x:c>
    </x:row>
    <x:row r="241">
      <x:c r="A241" s="23" t="str">
        <x:v>2025-03</x:v>
      </x:c>
      <x:c r="B241" s="23" t="str">
        <x:v>2025-03-31</x:v>
      </x:c>
      <x:c r="C241" s="23" t="str">
        <x:v>4010</x:v>
      </x:c>
      <x:c r="D241" s="23" t="str">
        <x:v>Ingresos por servicios</x:v>
      </x:c>
      <x:c r="E241" s="24" t="n">
        <x:v>841856</x:v>
      </x:c>
      <x:c r="F241" s="23" t="str">
        <x:v>ERP simulado</x:v>
      </x:c>
      <x:c r="G241" s="23" t="str">
        <x:v>Actual</x:v>
      </x:c>
      <x:c r="H241" s="23" t="str">
        <x:v>EUR</x:v>
      </x:c>
    </x:row>
    <x:row r="242">
      <x:c r="A242" s="23" t="str">
        <x:v>2025-03</x:v>
      </x:c>
      <x:c r="B242" s="23" t="str">
        <x:v>2025-03-31</x:v>
      </x:c>
      <x:c r="C242" s="23" t="str">
        <x:v>5000</x:v>
      </x:c>
      <x:c r="D242" s="23" t="str">
        <x:v>Materiales directos</x:v>
      </x:c>
      <x:c r="E242" s="24" t="n">
        <x:v>-1147414</x:v>
      </x:c>
      <x:c r="F242" s="23" t="str">
        <x:v>ERP simulado</x:v>
      </x:c>
      <x:c r="G242" s="23" t="str">
        <x:v>Actual</x:v>
      </x:c>
      <x:c r="H242" s="23" t="str">
        <x:v>EUR</x:v>
      </x:c>
    </x:row>
    <x:row r="243">
      <x:c r="A243" s="23" t="str">
        <x:v>2025-03</x:v>
      </x:c>
      <x:c r="B243" s="23" t="str">
        <x:v>2025-03-31</x:v>
      </x:c>
      <x:c r="C243" s="23" t="str">
        <x:v>5010</x:v>
      </x:c>
      <x:c r="D243" s="23" t="str">
        <x:v>Mano de obra directa</x:v>
      </x:c>
      <x:c r="E243" s="24" t="n">
        <x:v>-550130</x:v>
      </x:c>
      <x:c r="F243" s="23" t="str">
        <x:v>ERP simulado</x:v>
      </x:c>
      <x:c r="G243" s="23" t="str">
        <x:v>Actual</x:v>
      </x:c>
      <x:c r="H243" s="23" t="str">
        <x:v>EUR</x:v>
      </x:c>
    </x:row>
    <x:row r="244">
      <x:c r="A244" s="23" t="str">
        <x:v>2025-03</x:v>
      </x:c>
      <x:c r="B244" s="23" t="str">
        <x:v>2025-03-31</x:v>
      </x:c>
      <x:c r="C244" s="23" t="str">
        <x:v>5020</x:v>
      </x:c>
      <x:c r="D244" s="23" t="str">
        <x:v>Logística y subcontratación</x:v>
      </x:c>
      <x:c r="E244" s="24" t="n">
        <x:v>-194903</x:v>
      </x:c>
      <x:c r="F244" s="23" t="str">
        <x:v>ERP simulado</x:v>
      </x:c>
      <x:c r="G244" s="23" t="str">
        <x:v>Actual</x:v>
      </x:c>
      <x:c r="H244" s="23" t="str">
        <x:v>EUR</x:v>
      </x:c>
    </x:row>
    <x:row r="245">
      <x:c r="A245" s="23" t="str">
        <x:v>2025-03</x:v>
      </x:c>
      <x:c r="B245" s="23" t="str">
        <x:v>2025-03-31</x:v>
      </x:c>
      <x:c r="C245" s="23" t="str">
        <x:v>6000</x:v>
      </x:c>
      <x:c r="D245" s="23" t="str">
        <x:v>Gastos de personal</x:v>
      </x:c>
      <x:c r="E245" s="24" t="n">
        <x:v>-424786</x:v>
      </x:c>
      <x:c r="F245" s="23" t="str">
        <x:v>ERP simulado</x:v>
      </x:c>
      <x:c r="G245" s="23" t="str">
        <x:v>Actual</x:v>
      </x:c>
      <x:c r="H245" s="23" t="str">
        <x:v>EUR</x:v>
      </x:c>
    </x:row>
    <x:row r="246">
      <x:c r="A246" s="23" t="str">
        <x:v>2025-03</x:v>
      </x:c>
      <x:c r="B246" s="23" t="str">
        <x:v>2025-03-31</x:v>
      </x:c>
      <x:c r="C246" s="23" t="str">
        <x:v>6010</x:v>
      </x:c>
      <x:c r="D246" s="23" t="str">
        <x:v>Ventas y marketing</x:v>
      </x:c>
      <x:c r="E246" s="24" t="n">
        <x:v>-106882</x:v>
      </x:c>
      <x:c r="F246" s="23" t="str">
        <x:v>ERP simulado</x:v>
      </x:c>
      <x:c r="G246" s="23" t="str">
        <x:v>Actual</x:v>
      </x:c>
      <x:c r="H246" s="23" t="str">
        <x:v>EUR</x:v>
      </x:c>
    </x:row>
    <x:row r="247">
      <x:c r="A247" s="23" t="str">
        <x:v>2025-03</x:v>
      </x:c>
      <x:c r="B247" s="23" t="str">
        <x:v>2025-03-31</x:v>
      </x:c>
      <x:c r="C247" s="23" t="str">
        <x:v>6020</x:v>
      </x:c>
      <x:c r="D247" s="23" t="str">
        <x:v>IT y sistemas</x:v>
      </x:c>
      <x:c r="E247" s="24" t="n">
        <x:v>-56585</x:v>
      </x:c>
      <x:c r="F247" s="23" t="str">
        <x:v>ERP simulado</x:v>
      </x:c>
      <x:c r="G247" s="23" t="str">
        <x:v>Actual</x:v>
      </x:c>
      <x:c r="H247" s="23" t="str">
        <x:v>EUR</x:v>
      </x:c>
    </x:row>
    <x:row r="248">
      <x:c r="A248" s="23" t="str">
        <x:v>2025-03</x:v>
      </x:c>
      <x:c r="B248" s="23" t="str">
        <x:v>2025-03-31</x:v>
      </x:c>
      <x:c r="C248" s="23" t="str">
        <x:v>6030</x:v>
      </x:c>
      <x:c r="D248" s="23" t="str">
        <x:v>Alquileres e instalaciones</x:v>
      </x:c>
      <x:c r="E248" s="24" t="n">
        <x:v>-37723</x:v>
      </x:c>
      <x:c r="F248" s="23" t="str">
        <x:v>ERP simulado</x:v>
      </x:c>
      <x:c r="G248" s="23" t="str">
        <x:v>Actual</x:v>
      </x:c>
      <x:c r="H248" s="23" t="str">
        <x:v>EUR</x:v>
      </x:c>
    </x:row>
    <x:row r="249">
      <x:c r="A249" s="23" t="str">
        <x:v>2025-03</x:v>
      </x:c>
      <x:c r="B249" s="23" t="str">
        <x:v>2025-03-31</x:v>
      </x:c>
      <x:c r="C249" s="23" t="str">
        <x:v>6040</x:v>
      </x:c>
      <x:c r="D249" s="23" t="str">
        <x:v>Otros gastos operativos</x:v>
      </x:c>
      <x:c r="E249" s="24" t="n">
        <x:v>-75446</x:v>
      </x:c>
      <x:c r="F249" s="23" t="str">
        <x:v>ERP simulado</x:v>
      </x:c>
      <x:c r="G249" s="23" t="str">
        <x:v>Actual</x:v>
      </x:c>
      <x:c r="H249" s="23" t="str">
        <x:v>EUR</x:v>
      </x:c>
    </x:row>
    <x:row r="250">
      <x:c r="A250" s="23" t="str">
        <x:v>2025-03</x:v>
      </x:c>
      <x:c r="B250" s="23" t="str">
        <x:v>2025-03-31</x:v>
      </x:c>
      <x:c r="C250" s="23" t="str">
        <x:v>6100</x:v>
      </x:c>
      <x:c r="D250" s="23" t="str">
        <x:v>Depreciación</x:v>
      </x:c>
      <x:c r="E250" s="24" t="n">
        <x:v>-140000</x:v>
      </x:c>
      <x:c r="F250" s="23" t="str">
        <x:v>ERP simulado</x:v>
      </x:c>
      <x:c r="G250" s="23" t="str">
        <x:v>Actual</x:v>
      </x:c>
      <x:c r="H250" s="23" t="str">
        <x:v>EUR</x:v>
      </x:c>
    </x:row>
    <x:row r="251">
      <x:c r="A251" s="23" t="str">
        <x:v>2025-03</x:v>
      </x:c>
      <x:c r="B251" s="23" t="str">
        <x:v>2025-03-31</x:v>
      </x:c>
      <x:c r="C251" s="23" t="str">
        <x:v>6110</x:v>
      </x:c>
      <x:c r="D251" s="23" t="str">
        <x:v>Amortización</x:v>
      </x:c>
      <x:c r="E251" s="24" t="n">
        <x:v>-26900</x:v>
      </x:c>
      <x:c r="F251" s="23" t="str">
        <x:v>ERP simulado</x:v>
      </x:c>
      <x:c r="G251" s="23" t="str">
        <x:v>Actual</x:v>
      </x:c>
      <x:c r="H251" s="23" t="str">
        <x:v>EUR</x:v>
      </x:c>
    </x:row>
    <x:row r="252">
      <x:c r="A252" s="23" t="str">
        <x:v>2025-03</x:v>
      </x:c>
      <x:c r="B252" s="23" t="str">
        <x:v>2025-03-31</x:v>
      </x:c>
      <x:c r="C252" s="23" t="str">
        <x:v>6200</x:v>
      </x:c>
      <x:c r="D252" s="23" t="str">
        <x:v>Deterioros</x:v>
      </x:c>
      <x:c r="E252" s="24" t="n">
        <x:v>0</x:v>
      </x:c>
      <x:c r="F252" s="23" t="str">
        <x:v>ERP simulado</x:v>
      </x:c>
      <x:c r="G252" s="23" t="str">
        <x:v>Actual</x:v>
      </x:c>
      <x:c r="H252" s="23" t="str">
        <x:v>EUR</x:v>
      </x:c>
    </x:row>
    <x:row r="253">
      <x:c r="A253" s="23" t="str">
        <x:v>2025-03</x:v>
      </x:c>
      <x:c r="B253" s="23" t="str">
        <x:v>2025-03-31</x:v>
      </x:c>
      <x:c r="C253" s="23" t="str">
        <x:v>6300</x:v>
      </x:c>
      <x:c r="D253" s="23" t="str">
        <x:v>Resultado por venta de activos</x:v>
      </x:c>
      <x:c r="E253" s="24" t="n">
        <x:v>0</x:v>
      </x:c>
      <x:c r="F253" s="23" t="str">
        <x:v>ERP simulado</x:v>
      </x:c>
      <x:c r="G253" s="23" t="str">
        <x:v>Actual</x:v>
      </x:c>
      <x:c r="H253" s="23" t="str">
        <x:v>EUR</x:v>
      </x:c>
    </x:row>
    <x:row r="254">
      <x:c r="A254" s="23" t="str">
        <x:v>2025-03</x:v>
      </x:c>
      <x:c r="B254" s="23" t="str">
        <x:v>2025-03-31</x:v>
      </x:c>
      <x:c r="C254" s="23" t="str">
        <x:v>7000</x:v>
      </x:c>
      <x:c r="D254" s="23" t="str">
        <x:v>Gastos financieros</x:v>
      </x:c>
      <x:c r="E254" s="24" t="n">
        <x:v>-36000</x:v>
      </x:c>
      <x:c r="F254" s="23" t="str">
        <x:v>ERP simulado</x:v>
      </x:c>
      <x:c r="G254" s="23" t="str">
        <x:v>Actual</x:v>
      </x:c>
      <x:c r="H254" s="23" t="str">
        <x:v>EUR</x:v>
      </x:c>
    </x:row>
    <x:row r="255">
      <x:c r="A255" s="23" t="str">
        <x:v>2025-03</x:v>
      </x:c>
      <x:c r="B255" s="23" t="str">
        <x:v>2025-03-31</x:v>
      </x:c>
      <x:c r="C255" s="23" t="str">
        <x:v>7100</x:v>
      </x:c>
      <x:c r="D255" s="23" t="str">
        <x:v>Ingresos financieros</x:v>
      </x:c>
      <x:c r="E255" s="24" t="n">
        <x:v>3271</x:v>
      </x:c>
      <x:c r="F255" s="23" t="str">
        <x:v>ERP simulado</x:v>
      </x:c>
      <x:c r="G255" s="23" t="str">
        <x:v>Actual</x:v>
      </x:c>
      <x:c r="H255" s="23" t="str">
        <x:v>EUR</x:v>
      </x:c>
    </x:row>
    <x:row r="256">
      <x:c r="A256" s="23" t="str">
        <x:v>2025-03</x:v>
      </x:c>
      <x:c r="B256" s="23" t="str">
        <x:v>2025-03-31</x:v>
      </x:c>
      <x:c r="C256" s="23" t="str">
        <x:v>8000</x:v>
      </x:c>
      <x:c r="D256" s="23" t="str">
        <x:v>Impuesto sobre beneficios</x:v>
      </x:c>
      <x:c r="E256" s="24" t="n">
        <x:v>-87526</x:v>
      </x:c>
      <x:c r="F256" s="23" t="str">
        <x:v>ERP simulado</x:v>
      </x:c>
      <x:c r="G256" s="23" t="str">
        <x:v>Actual</x:v>
      </x:c>
      <x:c r="H256" s="23" t="str">
        <x:v>EUR</x:v>
      </x:c>
    </x:row>
    <x:row r="257">
      <x:c r="A257" s="23" t="str">
        <x:v>2025-04</x:v>
      </x:c>
      <x:c r="B257" s="23" t="str">
        <x:v>2025-04-30</x:v>
      </x:c>
      <x:c r="C257" s="23" t="str">
        <x:v>4000</x:v>
      </x:c>
      <x:c r="D257" s="23" t="str">
        <x:v>Ingresos por producto</x:v>
      </x:c>
      <x:c r="E257" s="24" t="n">
        <x:v>2121832</x:v>
      </x:c>
      <x:c r="F257" s="23" t="str">
        <x:v>ERP simulado</x:v>
      </x:c>
      <x:c r="G257" s="23" t="str">
        <x:v>Actual</x:v>
      </x:c>
      <x:c r="H257" s="23" t="str">
        <x:v>EUR</x:v>
      </x:c>
    </x:row>
    <x:row r="258">
      <x:c r="A258" s="23" t="str">
        <x:v>2025-04</x:v>
      </x:c>
      <x:c r="B258" s="23" t="str">
        <x:v>2025-04-30</x:v>
      </x:c>
      <x:c r="C258" s="23" t="str">
        <x:v>4010</x:v>
      </x:c>
      <x:c r="D258" s="23" t="str">
        <x:v>Ingresos por servicios</x:v>
      </x:c>
      <x:c r="E258" s="24" t="n">
        <x:v>790081</x:v>
      </x:c>
      <x:c r="F258" s="23" t="str">
        <x:v>ERP simulado</x:v>
      </x:c>
      <x:c r="G258" s="23" t="str">
        <x:v>Actual</x:v>
      </x:c>
      <x:c r="H258" s="23" t="str">
        <x:v>EUR</x:v>
      </x:c>
    </x:row>
    <x:row r="259">
      <x:c r="A259" s="23" t="str">
        <x:v>2025-04</x:v>
      </x:c>
      <x:c r="B259" s="23" t="str">
        <x:v>2025-04-30</x:v>
      </x:c>
      <x:c r="C259" s="23" t="str">
        <x:v>5000</x:v>
      </x:c>
      <x:c r="D259" s="23" t="str">
        <x:v>Materiales directos</x:v>
      </x:c>
      <x:c r="E259" s="24" t="n">
        <x:v>-1115263</x:v>
      </x:c>
      <x:c r="F259" s="23" t="str">
        <x:v>ERP simulado</x:v>
      </x:c>
      <x:c r="G259" s="23" t="str">
        <x:v>Actual</x:v>
      </x:c>
      <x:c r="H259" s="23" t="str">
        <x:v>EUR</x:v>
      </x:c>
    </x:row>
    <x:row r="260">
      <x:c r="A260" s="23" t="str">
        <x:v>2025-04</x:v>
      </x:c>
      <x:c r="B260" s="23" t="str">
        <x:v>2025-04-30</x:v>
      </x:c>
      <x:c r="C260" s="23" t="str">
        <x:v>5010</x:v>
      </x:c>
      <x:c r="D260" s="23" t="str">
        <x:v>Mano de obra directa</x:v>
      </x:c>
      <x:c r="E260" s="24" t="n">
        <x:v>-509585</x:v>
      </x:c>
      <x:c r="F260" s="23" t="str">
        <x:v>ERP simulado</x:v>
      </x:c>
      <x:c r="G260" s="23" t="str">
        <x:v>Actual</x:v>
      </x:c>
      <x:c r="H260" s="23" t="str">
        <x:v>EUR</x:v>
      </x:c>
    </x:row>
    <x:row r="261">
      <x:c r="A261" s="23" t="str">
        <x:v>2025-04</x:v>
      </x:c>
      <x:c r="B261" s="23" t="str">
        <x:v>2025-04-30</x:v>
      </x:c>
      <x:c r="C261" s="23" t="str">
        <x:v>5020</x:v>
      </x:c>
      <x:c r="D261" s="23" t="str">
        <x:v>Logística y subcontratación</x:v>
      </x:c>
      <x:c r="E261" s="24" t="n">
        <x:v>-180539</x:v>
      </x:c>
      <x:c r="F261" s="23" t="str">
        <x:v>ERP simulado</x:v>
      </x:c>
      <x:c r="G261" s="23" t="str">
        <x:v>Actual</x:v>
      </x:c>
      <x:c r="H261" s="23" t="str">
        <x:v>EUR</x:v>
      </x:c>
    </x:row>
    <x:row r="262">
      <x:c r="A262" s="23" t="str">
        <x:v>2025-04</x:v>
      </x:c>
      <x:c r="B262" s="23" t="str">
        <x:v>2025-04-30</x:v>
      </x:c>
      <x:c r="C262" s="23" t="str">
        <x:v>6000</x:v>
      </x:c>
      <x:c r="D262" s="23" t="str">
        <x:v>Gastos de personal</x:v>
      </x:c>
      <x:c r="E262" s="24" t="n">
        <x:v>-394153</x:v>
      </x:c>
      <x:c r="F262" s="23" t="str">
        <x:v>ERP simulado</x:v>
      </x:c>
      <x:c r="G262" s="23" t="str">
        <x:v>Actual</x:v>
      </x:c>
      <x:c r="H262" s="23" t="str">
        <x:v>EUR</x:v>
      </x:c>
    </x:row>
    <x:row r="263">
      <x:c r="A263" s="23" t="str">
        <x:v>2025-04</x:v>
      </x:c>
      <x:c r="B263" s="23" t="str">
        <x:v>2025-04-30</x:v>
      </x:c>
      <x:c r="C263" s="23" t="str">
        <x:v>6010</x:v>
      </x:c>
      <x:c r="D263" s="23" t="str">
        <x:v>Ventas y marketing</x:v>
      </x:c>
      <x:c r="E263" s="24" t="n">
        <x:v>-99005</x:v>
      </x:c>
      <x:c r="F263" s="23" t="str">
        <x:v>ERP simulado</x:v>
      </x:c>
      <x:c r="G263" s="23" t="str">
        <x:v>Actual</x:v>
      </x:c>
      <x:c r="H263" s="23" t="str">
        <x:v>EUR</x:v>
      </x:c>
    </x:row>
    <x:row r="264">
      <x:c r="A264" s="23" t="str">
        <x:v>2025-04</x:v>
      </x:c>
      <x:c r="B264" s="23" t="str">
        <x:v>2025-04-30</x:v>
      </x:c>
      <x:c r="C264" s="23" t="str">
        <x:v>6020</x:v>
      </x:c>
      <x:c r="D264" s="23" t="str">
        <x:v>IT y sistemas</x:v>
      </x:c>
      <x:c r="E264" s="24" t="n">
        <x:v>-52414</x:v>
      </x:c>
      <x:c r="F264" s="23" t="str">
        <x:v>ERP simulado</x:v>
      </x:c>
      <x:c r="G264" s="23" t="str">
        <x:v>Actual</x:v>
      </x:c>
      <x:c r="H264" s="23" t="str">
        <x:v>EUR</x:v>
      </x:c>
    </x:row>
    <x:row r="265">
      <x:c r="A265" s="23" t="str">
        <x:v>2025-04</x:v>
      </x:c>
      <x:c r="B265" s="23" t="str">
        <x:v>2025-04-30</x:v>
      </x:c>
      <x:c r="C265" s="23" t="str">
        <x:v>6030</x:v>
      </x:c>
      <x:c r="D265" s="23" t="str">
        <x:v>Alquileres e instalaciones</x:v>
      </x:c>
      <x:c r="E265" s="24" t="n">
        <x:v>-34943</x:v>
      </x:c>
      <x:c r="F265" s="23" t="str">
        <x:v>ERP simulado</x:v>
      </x:c>
      <x:c r="G265" s="23" t="str">
        <x:v>Actual</x:v>
      </x:c>
      <x:c r="H265" s="23" t="str">
        <x:v>EUR</x:v>
      </x:c>
    </x:row>
    <x:row r="266">
      <x:c r="A266" s="23" t="str">
        <x:v>2025-04</x:v>
      </x:c>
      <x:c r="B266" s="23" t="str">
        <x:v>2025-04-30</x:v>
      </x:c>
      <x:c r="C266" s="23" t="str">
        <x:v>6040</x:v>
      </x:c>
      <x:c r="D266" s="23" t="str">
        <x:v>Otros gastos operativos</x:v>
      </x:c>
      <x:c r="E266" s="24" t="n">
        <x:v>-69886</x:v>
      </x:c>
      <x:c r="F266" s="23" t="str">
        <x:v>ERP simulado</x:v>
      </x:c>
      <x:c r="G266" s="23" t="str">
        <x:v>Actual</x:v>
      </x:c>
      <x:c r="H266" s="23" t="str">
        <x:v>EUR</x:v>
      </x:c>
    </x:row>
    <x:row r="267">
      <x:c r="A267" s="23" t="str">
        <x:v>2025-04</x:v>
      </x:c>
      <x:c r="B267" s="23" t="str">
        <x:v>2025-04-30</x:v>
      </x:c>
      <x:c r="C267" s="23" t="str">
        <x:v>6100</x:v>
      </x:c>
      <x:c r="D267" s="23" t="str">
        <x:v>Depreciación</x:v>
      </x:c>
      <x:c r="E267" s="24" t="n">
        <x:v>-142500</x:v>
      </x:c>
      <x:c r="F267" s="23" t="str">
        <x:v>ERP simulado</x:v>
      </x:c>
      <x:c r="G267" s="23" t="str">
        <x:v>Actual</x:v>
      </x:c>
      <x:c r="H267" s="23" t="str">
        <x:v>EUR</x:v>
      </x:c>
    </x:row>
    <x:row r="268">
      <x:c r="A268" s="23" t="str">
        <x:v>2025-04</x:v>
      </x:c>
      <x:c r="B268" s="23" t="str">
        <x:v>2025-04-30</x:v>
      </x:c>
      <x:c r="C268" s="23" t="str">
        <x:v>6110</x:v>
      </x:c>
      <x:c r="D268" s="23" t="str">
        <x:v>Amortización</x:v>
      </x:c>
      <x:c r="E268" s="24" t="n">
        <x:v>-27250</x:v>
      </x:c>
      <x:c r="F268" s="23" t="str">
        <x:v>ERP simulado</x:v>
      </x:c>
      <x:c r="G268" s="23" t="str">
        <x:v>Actual</x:v>
      </x:c>
      <x:c r="H268" s="23" t="str">
        <x:v>EUR</x:v>
      </x:c>
    </x:row>
    <x:row r="269">
      <x:c r="A269" s="23" t="str">
        <x:v>2025-04</x:v>
      </x:c>
      <x:c r="B269" s="23" t="str">
        <x:v>2025-04-30</x:v>
      </x:c>
      <x:c r="C269" s="23" t="str">
        <x:v>6200</x:v>
      </x:c>
      <x:c r="D269" s="23" t="str">
        <x:v>Deterioros</x:v>
      </x:c>
      <x:c r="E269" s="24" t="n">
        <x:v>0</x:v>
      </x:c>
      <x:c r="F269" s="23" t="str">
        <x:v>ERP simulado</x:v>
      </x:c>
      <x:c r="G269" s="23" t="str">
        <x:v>Actual</x:v>
      </x:c>
      <x:c r="H269" s="23" t="str">
        <x:v>EUR</x:v>
      </x:c>
    </x:row>
    <x:row r="270">
      <x:c r="A270" s="23" t="str">
        <x:v>2025-04</x:v>
      </x:c>
      <x:c r="B270" s="23" t="str">
        <x:v>2025-04-30</x:v>
      </x:c>
      <x:c r="C270" s="23" t="str">
        <x:v>6300</x:v>
      </x:c>
      <x:c r="D270" s="23" t="str">
        <x:v>Resultado por venta de activos</x:v>
      </x:c>
      <x:c r="E270" s="24" t="n">
        <x:v>0</x:v>
      </x:c>
      <x:c r="F270" s="23" t="str">
        <x:v>ERP simulado</x:v>
      </x:c>
      <x:c r="G270" s="23" t="str">
        <x:v>Actual</x:v>
      </x:c>
      <x:c r="H270" s="23" t="str">
        <x:v>EUR</x:v>
      </x:c>
    </x:row>
    <x:row r="271">
      <x:c r="A271" s="23" t="str">
        <x:v>2025-04</x:v>
      </x:c>
      <x:c r="B271" s="23" t="str">
        <x:v>2025-04-30</x:v>
      </x:c>
      <x:c r="C271" s="23" t="str">
        <x:v>7000</x:v>
      </x:c>
      <x:c r="D271" s="23" t="str">
        <x:v>Gastos financieros</x:v>
      </x:c>
      <x:c r="E271" s="24" t="n">
        <x:v>-36000</x:v>
      </x:c>
      <x:c r="F271" s="23" t="str">
        <x:v>ERP simulado</x:v>
      </x:c>
      <x:c r="G271" s="23" t="str">
        <x:v>Actual</x:v>
      </x:c>
      <x:c r="H271" s="23" t="str">
        <x:v>EUR</x:v>
      </x:c>
    </x:row>
    <x:row r="272">
      <x:c r="A272" s="23" t="str">
        <x:v>2025-04</x:v>
      </x:c>
      <x:c r="B272" s="23" t="str">
        <x:v>2025-04-30</x:v>
      </x:c>
      <x:c r="C272" s="23" t="str">
        <x:v>7100</x:v>
      </x:c>
      <x:c r="D272" s="23" t="str">
        <x:v>Ingresos financieros</x:v>
      </x:c>
      <x:c r="E272" s="24" t="n">
        <x:v>3540</x:v>
      </x:c>
      <x:c r="F272" s="23" t="str">
        <x:v>ERP simulado</x:v>
      </x:c>
      <x:c r="G272" s="23" t="str">
        <x:v>Actual</x:v>
      </x:c>
      <x:c r="H272" s="23" t="str">
        <x:v>EUR</x:v>
      </x:c>
    </x:row>
    <x:row r="273">
      <x:c r="A273" s="23" t="str">
        <x:v>2025-04</x:v>
      </x:c>
      <x:c r="B273" s="23" t="str">
        <x:v>2025-04-30</x:v>
      </x:c>
      <x:c r="C273" s="23" t="str">
        <x:v>8000</x:v>
      </x:c>
      <x:c r="D273" s="23" t="str">
        <x:v>Impuesto sobre beneficios</x:v>
      </x:c>
      <x:c r="E273" s="24" t="n">
        <x:v>-63479</x:v>
      </x:c>
      <x:c r="F273" s="23" t="str">
        <x:v>ERP simulado</x:v>
      </x:c>
      <x:c r="G273" s="23" t="str">
        <x:v>Actual</x:v>
      </x:c>
      <x:c r="H273" s="23" t="str">
        <x:v>EUR</x:v>
      </x:c>
    </x:row>
    <x:row r="274">
      <x:c r="A274" s="23" t="str">
        <x:v>2025-05</x:v>
      </x:c>
      <x:c r="B274" s="23" t="str">
        <x:v>2025-05-31</x:v>
      </x:c>
      <x:c r="C274" s="23" t="str">
        <x:v>4000</x:v>
      </x:c>
      <x:c r="D274" s="23" t="str">
        <x:v>Ingresos por producto</x:v>
      </x:c>
      <x:c r="E274" s="24" t="n">
        <x:v>2206937</x:v>
      </x:c>
      <x:c r="F274" s="23" t="str">
        <x:v>ERP simulado</x:v>
      </x:c>
      <x:c r="G274" s="23" t="str">
        <x:v>Actual</x:v>
      </x:c>
      <x:c r="H274" s="23" t="str">
        <x:v>EUR</x:v>
      </x:c>
    </x:row>
    <x:row r="275">
      <x:c r="A275" s="23" t="str">
        <x:v>2025-05</x:v>
      </x:c>
      <x:c r="B275" s="23" t="str">
        <x:v>2025-05-31</x:v>
      </x:c>
      <x:c r="C275" s="23" t="str">
        <x:v>4010</x:v>
      </x:c>
      <x:c r="D275" s="23" t="str">
        <x:v>Ingresos por servicios</x:v>
      </x:c>
      <x:c r="E275" s="24" t="n">
        <x:v>840513</x:v>
      </x:c>
      <x:c r="F275" s="23" t="str">
        <x:v>ERP simulado</x:v>
      </x:c>
      <x:c r="G275" s="23" t="str">
        <x:v>Actual</x:v>
      </x:c>
      <x:c r="H275" s="23" t="str">
        <x:v>EUR</x:v>
      </x:c>
    </x:row>
    <x:row r="276">
      <x:c r="A276" s="23" t="str">
        <x:v>2025-05</x:v>
      </x:c>
      <x:c r="B276" s="23" t="str">
        <x:v>2025-05-31</x:v>
      </x:c>
      <x:c r="C276" s="23" t="str">
        <x:v>5000</x:v>
      </x:c>
      <x:c r="D276" s="23" t="str">
        <x:v>Materiales directos</x:v>
      </x:c>
      <x:c r="E276" s="24" t="n">
        <x:v>-1167173</x:v>
      </x:c>
      <x:c r="F276" s="23" t="str">
        <x:v>ERP simulado</x:v>
      </x:c>
      <x:c r="G276" s="23" t="str">
        <x:v>Actual</x:v>
      </x:c>
      <x:c r="H276" s="23" t="str">
        <x:v>EUR</x:v>
      </x:c>
    </x:row>
    <x:row r="277">
      <x:c r="A277" s="23" t="str">
        <x:v>2025-05</x:v>
      </x:c>
      <x:c r="B277" s="23" t="str">
        <x:v>2025-05-31</x:v>
      </x:c>
      <x:c r="C277" s="23" t="str">
        <x:v>5010</x:v>
      </x:c>
      <x:c r="D277" s="23" t="str">
        <x:v>Mano de obra directa</x:v>
      </x:c>
      <x:c r="E277" s="24" t="n">
        <x:v>-533304</x:v>
      </x:c>
      <x:c r="F277" s="23" t="str">
        <x:v>ERP simulado</x:v>
      </x:c>
      <x:c r="G277" s="23" t="str">
        <x:v>Actual</x:v>
      </x:c>
      <x:c r="H277" s="23" t="str">
        <x:v>EUR</x:v>
      </x:c>
    </x:row>
    <x:row r="278">
      <x:c r="A278" s="23" t="str">
        <x:v>2025-05</x:v>
      </x:c>
      <x:c r="B278" s="23" t="str">
        <x:v>2025-05-31</x:v>
      </x:c>
      <x:c r="C278" s="23" t="str">
        <x:v>5020</x:v>
      </x:c>
      <x:c r="D278" s="23" t="str">
        <x:v>Logística y subcontratación</x:v>
      </x:c>
      <x:c r="E278" s="24" t="n">
        <x:v>-188942</x:v>
      </x:c>
      <x:c r="F278" s="23" t="str">
        <x:v>ERP simulado</x:v>
      </x:c>
      <x:c r="G278" s="23" t="str">
        <x:v>Actual</x:v>
      </x:c>
      <x:c r="H278" s="23" t="str">
        <x:v>EUR</x:v>
      </x:c>
    </x:row>
    <x:row r="279">
      <x:c r="A279" s="23" t="str">
        <x:v>2025-05</x:v>
      </x:c>
      <x:c r="B279" s="23" t="str">
        <x:v>2025-05-31</x:v>
      </x:c>
      <x:c r="C279" s="23" t="str">
        <x:v>6000</x:v>
      </x:c>
      <x:c r="D279" s="23" t="str">
        <x:v>Gastos de personal</x:v>
      </x:c>
      <x:c r="E279" s="24" t="n">
        <x:v>-413517</x:v>
      </x:c>
      <x:c r="F279" s="23" t="str">
        <x:v>ERP simulado</x:v>
      </x:c>
      <x:c r="G279" s="23" t="str">
        <x:v>Actual</x:v>
      </x:c>
      <x:c r="H279" s="23" t="str">
        <x:v>EUR</x:v>
      </x:c>
    </x:row>
    <x:row r="280">
      <x:c r="A280" s="23" t="str">
        <x:v>2025-05</x:v>
      </x:c>
      <x:c r="B280" s="23" t="str">
        <x:v>2025-05-31</x:v>
      </x:c>
      <x:c r="C280" s="23" t="str">
        <x:v>6010</x:v>
      </x:c>
      <x:c r="D280" s="23" t="str">
        <x:v>Ventas y marketing</x:v>
      </x:c>
      <x:c r="E280" s="24" t="n">
        <x:v>-103613</x:v>
      </x:c>
      <x:c r="F280" s="23" t="str">
        <x:v>ERP simulado</x:v>
      </x:c>
      <x:c r="G280" s="23" t="str">
        <x:v>Actual</x:v>
      </x:c>
      <x:c r="H280" s="23" t="str">
        <x:v>EUR</x:v>
      </x:c>
    </x:row>
    <x:row r="281">
      <x:c r="A281" s="23" t="str">
        <x:v>2025-05</x:v>
      </x:c>
      <x:c r="B281" s="23" t="str">
        <x:v>2025-05-31</x:v>
      </x:c>
      <x:c r="C281" s="23" t="str">
        <x:v>6020</x:v>
      </x:c>
      <x:c r="D281" s="23" t="str">
        <x:v>IT y sistemas</x:v>
      </x:c>
      <x:c r="E281" s="24" t="n">
        <x:v>-54854</x:v>
      </x:c>
      <x:c r="F281" s="23" t="str">
        <x:v>ERP simulado</x:v>
      </x:c>
      <x:c r="G281" s="23" t="str">
        <x:v>Actual</x:v>
      </x:c>
      <x:c r="H281" s="23" t="str">
        <x:v>EUR</x:v>
      </x:c>
    </x:row>
    <x:row r="282">
      <x:c r="A282" s="23" t="str">
        <x:v>2025-05</x:v>
      </x:c>
      <x:c r="B282" s="23" t="str">
        <x:v>2025-05-31</x:v>
      </x:c>
      <x:c r="C282" s="23" t="str">
        <x:v>6030</x:v>
      </x:c>
      <x:c r="D282" s="23" t="str">
        <x:v>Alquileres e instalaciones</x:v>
      </x:c>
      <x:c r="E282" s="24" t="n">
        <x:v>-36569</x:v>
      </x:c>
      <x:c r="F282" s="23" t="str">
        <x:v>ERP simulado</x:v>
      </x:c>
      <x:c r="G282" s="23" t="str">
        <x:v>Actual</x:v>
      </x:c>
      <x:c r="H282" s="23" t="str">
        <x:v>EUR</x:v>
      </x:c>
    </x:row>
    <x:row r="283">
      <x:c r="A283" s="23" t="str">
        <x:v>2025-05</x:v>
      </x:c>
      <x:c r="B283" s="23" t="str">
        <x:v>2025-05-31</x:v>
      </x:c>
      <x:c r="C283" s="23" t="str">
        <x:v>6040</x:v>
      </x:c>
      <x:c r="D283" s="23" t="str">
        <x:v>Otros gastos operativos</x:v>
      </x:c>
      <x:c r="E283" s="24" t="n">
        <x:v>-73139</x:v>
      </x:c>
      <x:c r="F283" s="23" t="str">
        <x:v>ERP simulado</x:v>
      </x:c>
      <x:c r="G283" s="23" t="str">
        <x:v>Actual</x:v>
      </x:c>
      <x:c r="H283" s="23" t="str">
        <x:v>EUR</x:v>
      </x:c>
    </x:row>
    <x:row r="284">
      <x:c r="A284" s="23" t="str">
        <x:v>2025-05</x:v>
      </x:c>
      <x:c r="B284" s="23" t="str">
        <x:v>2025-05-31</x:v>
      </x:c>
      <x:c r="C284" s="23" t="str">
        <x:v>6100</x:v>
      </x:c>
      <x:c r="D284" s="23" t="str">
        <x:v>Depreciación</x:v>
      </x:c>
      <x:c r="E284" s="24" t="n">
        <x:v>-145000</x:v>
      </x:c>
      <x:c r="F284" s="23" t="str">
        <x:v>ERP simulado</x:v>
      </x:c>
      <x:c r="G284" s="23" t="str">
        <x:v>Actual</x:v>
      </x:c>
      <x:c r="H284" s="23" t="str">
        <x:v>EUR</x:v>
      </x:c>
    </x:row>
    <x:row r="285">
      <x:c r="A285" s="23" t="str">
        <x:v>2025-05</x:v>
      </x:c>
      <x:c r="B285" s="23" t="str">
        <x:v>2025-05-31</x:v>
      </x:c>
      <x:c r="C285" s="23" t="str">
        <x:v>6110</x:v>
      </x:c>
      <x:c r="D285" s="23" t="str">
        <x:v>Amortización</x:v>
      </x:c>
      <x:c r="E285" s="24" t="n">
        <x:v>-27600</x:v>
      </x:c>
      <x:c r="F285" s="23" t="str">
        <x:v>ERP simulado</x:v>
      </x:c>
      <x:c r="G285" s="23" t="str">
        <x:v>Actual</x:v>
      </x:c>
      <x:c r="H285" s="23" t="str">
        <x:v>EUR</x:v>
      </x:c>
    </x:row>
    <x:row r="286">
      <x:c r="A286" s="23" t="str">
        <x:v>2025-05</x:v>
      </x:c>
      <x:c r="B286" s="23" t="str">
        <x:v>2025-05-31</x:v>
      </x:c>
      <x:c r="C286" s="23" t="str">
        <x:v>6200</x:v>
      </x:c>
      <x:c r="D286" s="23" t="str">
        <x:v>Deterioros</x:v>
      </x:c>
      <x:c r="E286" s="24" t="n">
        <x:v>0</x:v>
      </x:c>
      <x:c r="F286" s="23" t="str">
        <x:v>ERP simulado</x:v>
      </x:c>
      <x:c r="G286" s="23" t="str">
        <x:v>Actual</x:v>
      </x:c>
      <x:c r="H286" s="23" t="str">
        <x:v>EUR</x:v>
      </x:c>
    </x:row>
    <x:row r="287">
      <x:c r="A287" s="23" t="str">
        <x:v>2025-05</x:v>
      </x:c>
      <x:c r="B287" s="23" t="str">
        <x:v>2025-05-31</x:v>
      </x:c>
      <x:c r="C287" s="23" t="str">
        <x:v>6300</x:v>
      </x:c>
      <x:c r="D287" s="23" t="str">
        <x:v>Resultado por venta de activos</x:v>
      </x:c>
      <x:c r="E287" s="24" t="n">
        <x:v>0</x:v>
      </x:c>
      <x:c r="F287" s="23" t="str">
        <x:v>ERP simulado</x:v>
      </x:c>
      <x:c r="G287" s="23" t="str">
        <x:v>Actual</x:v>
      </x:c>
      <x:c r="H287" s="23" t="str">
        <x:v>EUR</x:v>
      </x:c>
    </x:row>
    <x:row r="288">
      <x:c r="A288" s="23" t="str">
        <x:v>2025-05</x:v>
      </x:c>
      <x:c r="B288" s="23" t="str">
        <x:v>2025-05-31</x:v>
      </x:c>
      <x:c r="C288" s="23" t="str">
        <x:v>7000</x:v>
      </x:c>
      <x:c r="D288" s="23" t="str">
        <x:v>Gastos financieros</x:v>
      </x:c>
      <x:c r="E288" s="24" t="n">
        <x:v>-36000</x:v>
      </x:c>
      <x:c r="F288" s="23" t="str">
        <x:v>ERP simulado</x:v>
      </x:c>
      <x:c r="G288" s="23" t="str">
        <x:v>Actual</x:v>
      </x:c>
      <x:c r="H288" s="23" t="str">
        <x:v>EUR</x:v>
      </x:c>
    </x:row>
    <x:row r="289">
      <x:c r="A289" s="23" t="str">
        <x:v>2025-05</x:v>
      </x:c>
      <x:c r="B289" s="23" t="str">
        <x:v>2025-05-31</x:v>
      </x:c>
      <x:c r="C289" s="23" t="str">
        <x:v>7100</x:v>
      </x:c>
      <x:c r="D289" s="23" t="str">
        <x:v>Ingresos financieros</x:v>
      </x:c>
      <x:c r="E289" s="24" t="n">
        <x:v>1923</x:v>
      </x:c>
      <x:c r="F289" s="23" t="str">
        <x:v>ERP simulado</x:v>
      </x:c>
      <x:c r="G289" s="23" t="str">
        <x:v>Actual</x:v>
      </x:c>
      <x:c r="H289" s="23" t="str">
        <x:v>EUR</x:v>
      </x:c>
    </x:row>
    <x:row r="290">
      <x:c r="A290" s="23" t="str">
        <x:v>2025-05</x:v>
      </x:c>
      <x:c r="B290" s="23" t="str">
        <x:v>2025-05-31</x:v>
      </x:c>
      <x:c r="C290" s="23" t="str">
        <x:v>8000</x:v>
      </x:c>
      <x:c r="D290" s="23" t="str">
        <x:v>Impuesto sobre beneficios</x:v>
      </x:c>
      <x:c r="E290" s="24" t="n">
        <x:v>-67416</x:v>
      </x:c>
      <x:c r="F290" s="23" t="str">
        <x:v>ERP simulado</x:v>
      </x:c>
      <x:c r="G290" s="23" t="str">
        <x:v>Actual</x:v>
      </x:c>
      <x:c r="H290" s="23" t="str">
        <x:v>EUR</x:v>
      </x:c>
    </x:row>
    <x:row r="291">
      <x:c r="A291" s="23" t="str">
        <x:v>2025-06</x:v>
      </x:c>
      <x:c r="B291" s="23" t="str">
        <x:v>2025-06-30</x:v>
      </x:c>
      <x:c r="C291" s="23" t="str">
        <x:v>4000</x:v>
      </x:c>
      <x:c r="D291" s="23" t="str">
        <x:v>Ingresos por producto</x:v>
      </x:c>
      <x:c r="E291" s="24" t="n">
        <x:v>2247085</x:v>
      </x:c>
      <x:c r="F291" s="23" t="str">
        <x:v>ERP simulado</x:v>
      </x:c>
      <x:c r="G291" s="23" t="str">
        <x:v>Actual</x:v>
      </x:c>
      <x:c r="H291" s="23" t="str">
        <x:v>EUR</x:v>
      </x:c>
    </x:row>
    <x:row r="292">
      <x:c r="A292" s="23" t="str">
        <x:v>2025-06</x:v>
      </x:c>
      <x:c r="B292" s="23" t="str">
        <x:v>2025-06-30</x:v>
      </x:c>
      <x:c r="C292" s="23" t="str">
        <x:v>4010</x:v>
      </x:c>
      <x:c r="D292" s="23" t="str">
        <x:v>Ingresos por servicios</x:v>
      </x:c>
      <x:c r="E292" s="24" t="n">
        <x:v>877129</x:v>
      </x:c>
      <x:c r="F292" s="23" t="str">
        <x:v>ERP simulado</x:v>
      </x:c>
      <x:c r="G292" s="23" t="str">
        <x:v>Actual</x:v>
      </x:c>
      <x:c r="H292" s="23" t="str">
        <x:v>EUR</x:v>
      </x:c>
    </x:row>
    <x:row r="293">
      <x:c r="A293" s="23" t="str">
        <x:v>2025-06</x:v>
      </x:c>
      <x:c r="B293" s="23" t="str">
        <x:v>2025-06-30</x:v>
      </x:c>
      <x:c r="C293" s="23" t="str">
        <x:v>5000</x:v>
      </x:c>
      <x:c r="D293" s="23" t="str">
        <x:v>Materiales directos</x:v>
      </x:c>
      <x:c r="E293" s="24" t="n">
        <x:v>-1196574</x:v>
      </x:c>
      <x:c r="F293" s="23" t="str">
        <x:v>ERP simulado</x:v>
      </x:c>
      <x:c r="G293" s="23" t="str">
        <x:v>Actual</x:v>
      </x:c>
      <x:c r="H293" s="23" t="str">
        <x:v>EUR</x:v>
      </x:c>
    </x:row>
    <x:row r="294">
      <x:c r="A294" s="23" t="str">
        <x:v>2025-06</x:v>
      </x:c>
      <x:c r="B294" s="23" t="str">
        <x:v>2025-06-30</x:v>
      </x:c>
      <x:c r="C294" s="23" t="str">
        <x:v>5010</x:v>
      </x:c>
      <x:c r="D294" s="23" t="str">
        <x:v>Mano de obra directa</x:v>
      </x:c>
      <x:c r="E294" s="24" t="n">
        <x:v>-546737</x:v>
      </x:c>
      <x:c r="F294" s="23" t="str">
        <x:v>ERP simulado</x:v>
      </x:c>
      <x:c r="G294" s="23" t="str">
        <x:v>Actual</x:v>
      </x:c>
      <x:c r="H294" s="23" t="str">
        <x:v>EUR</x:v>
      </x:c>
    </x:row>
    <x:row r="295">
      <x:c r="A295" s="23" t="str">
        <x:v>2025-06</x:v>
      </x:c>
      <x:c r="B295" s="23" t="str">
        <x:v>2025-06-30</x:v>
      </x:c>
      <x:c r="C295" s="23" t="str">
        <x:v>5020</x:v>
      </x:c>
      <x:c r="D295" s="23" t="str">
        <x:v>Logística y subcontratación</x:v>
      </x:c>
      <x:c r="E295" s="24" t="n">
        <x:v>-193701</x:v>
      </x:c>
      <x:c r="F295" s="23" t="str">
        <x:v>ERP simulado</x:v>
      </x:c>
      <x:c r="G295" s="23" t="str">
        <x:v>Actual</x:v>
      </x:c>
      <x:c r="H295" s="23" t="str">
        <x:v>EUR</x:v>
      </x:c>
    </x:row>
    <x:row r="296">
      <x:c r="A296" s="23" t="str">
        <x:v>2025-06</x:v>
      </x:c>
      <x:c r="B296" s="23" t="str">
        <x:v>2025-06-30</x:v>
      </x:c>
      <x:c r="C296" s="23" t="str">
        <x:v>6000</x:v>
      </x:c>
      <x:c r="D296" s="23" t="str">
        <x:v>Gastos de personal</x:v>
      </x:c>
      <x:c r="E296" s="24" t="n">
        <x:v>-425230</x:v>
      </x:c>
      <x:c r="F296" s="23" t="str">
        <x:v>ERP simulado</x:v>
      </x:c>
      <x:c r="G296" s="23" t="str">
        <x:v>Actual</x:v>
      </x:c>
      <x:c r="H296" s="23" t="str">
        <x:v>EUR</x:v>
      </x:c>
    </x:row>
    <x:row r="297">
      <x:c r="A297" s="23" t="str">
        <x:v>2025-06</x:v>
      </x:c>
      <x:c r="B297" s="23" t="str">
        <x:v>2025-06-30</x:v>
      </x:c>
      <x:c r="C297" s="23" t="str">
        <x:v>6010</x:v>
      </x:c>
      <x:c r="D297" s="23" t="str">
        <x:v>Ventas y marketing</x:v>
      </x:c>
      <x:c r="E297" s="24" t="n">
        <x:v>-106223</x:v>
      </x:c>
      <x:c r="F297" s="23" t="str">
        <x:v>ERP simulado</x:v>
      </x:c>
      <x:c r="G297" s="23" t="str">
        <x:v>Actual</x:v>
      </x:c>
      <x:c r="H297" s="23" t="str">
        <x:v>EUR</x:v>
      </x:c>
    </x:row>
    <x:row r="298">
      <x:c r="A298" s="23" t="str">
        <x:v>2025-06</x:v>
      </x:c>
      <x:c r="B298" s="23" t="str">
        <x:v>2025-06-30</x:v>
      </x:c>
      <x:c r="C298" s="23" t="str">
        <x:v>6020</x:v>
      </x:c>
      <x:c r="D298" s="23" t="str">
        <x:v>IT y sistemas</x:v>
      </x:c>
      <x:c r="E298" s="24" t="n">
        <x:v>-56236</x:v>
      </x:c>
      <x:c r="F298" s="23" t="str">
        <x:v>ERP simulado</x:v>
      </x:c>
      <x:c r="G298" s="23" t="str">
        <x:v>Actual</x:v>
      </x:c>
      <x:c r="H298" s="23" t="str">
        <x:v>EUR</x:v>
      </x:c>
    </x:row>
    <x:row r="299">
      <x:c r="A299" s="23" t="str">
        <x:v>2025-06</x:v>
      </x:c>
      <x:c r="B299" s="23" t="str">
        <x:v>2025-06-30</x:v>
      </x:c>
      <x:c r="C299" s="23" t="str">
        <x:v>6030</x:v>
      </x:c>
      <x:c r="D299" s="23" t="str">
        <x:v>Alquileres e instalaciones</x:v>
      </x:c>
      <x:c r="E299" s="24" t="n">
        <x:v>-37491</x:v>
      </x:c>
      <x:c r="F299" s="23" t="str">
        <x:v>ERP simulado</x:v>
      </x:c>
      <x:c r="G299" s="23" t="str">
        <x:v>Actual</x:v>
      </x:c>
      <x:c r="H299" s="23" t="str">
        <x:v>EUR</x:v>
      </x:c>
    </x:row>
    <x:row r="300">
      <x:c r="A300" s="23" t="str">
        <x:v>2025-06</x:v>
      </x:c>
      <x:c r="B300" s="23" t="str">
        <x:v>2025-06-30</x:v>
      </x:c>
      <x:c r="C300" s="23" t="str">
        <x:v>6040</x:v>
      </x:c>
      <x:c r="D300" s="23" t="str">
        <x:v>Otros gastos operativos</x:v>
      </x:c>
      <x:c r="E300" s="24" t="n">
        <x:v>-74981</x:v>
      </x:c>
      <x:c r="F300" s="23" t="str">
        <x:v>ERP simulado</x:v>
      </x:c>
      <x:c r="G300" s="23" t="str">
        <x:v>Actual</x:v>
      </x:c>
      <x:c r="H300" s="23" t="str">
        <x:v>EUR</x:v>
      </x:c>
    </x:row>
    <x:row r="301">
      <x:c r="A301" s="23" t="str">
        <x:v>2025-06</x:v>
      </x:c>
      <x:c r="B301" s="23" t="str">
        <x:v>2025-06-30</x:v>
      </x:c>
      <x:c r="C301" s="23" t="str">
        <x:v>6100</x:v>
      </x:c>
      <x:c r="D301" s="23" t="str">
        <x:v>Depreciación</x:v>
      </x:c>
      <x:c r="E301" s="24" t="n">
        <x:v>-147500</x:v>
      </x:c>
      <x:c r="F301" s="23" t="str">
        <x:v>ERP simulado</x:v>
      </x:c>
      <x:c r="G301" s="23" t="str">
        <x:v>Actual</x:v>
      </x:c>
      <x:c r="H301" s="23" t="str">
        <x:v>EUR</x:v>
      </x:c>
    </x:row>
    <x:row r="302">
      <x:c r="A302" s="23" t="str">
        <x:v>2025-06</x:v>
      </x:c>
      <x:c r="B302" s="23" t="str">
        <x:v>2025-06-30</x:v>
      </x:c>
      <x:c r="C302" s="23" t="str">
        <x:v>6110</x:v>
      </x:c>
      <x:c r="D302" s="23" t="str">
        <x:v>Amortización</x:v>
      </x:c>
      <x:c r="E302" s="24" t="n">
        <x:v>-27950</x:v>
      </x:c>
      <x:c r="F302" s="23" t="str">
        <x:v>ERP simulado</x:v>
      </x:c>
      <x:c r="G302" s="23" t="str">
        <x:v>Actual</x:v>
      </x:c>
      <x:c r="H302" s="23" t="str">
        <x:v>EUR</x:v>
      </x:c>
    </x:row>
    <x:row r="303">
      <x:c r="A303" s="23" t="str">
        <x:v>2025-06</x:v>
      </x:c>
      <x:c r="B303" s="23" t="str">
        <x:v>2025-06-30</x:v>
      </x:c>
      <x:c r="C303" s="23" t="str">
        <x:v>6200</x:v>
      </x:c>
      <x:c r="D303" s="23" t="str">
        <x:v>Deterioros</x:v>
      </x:c>
      <x:c r="E303" s="24" t="n">
        <x:v>-80000</x:v>
      </x:c>
      <x:c r="F303" s="23" t="str">
        <x:v>ERP simulado</x:v>
      </x:c>
      <x:c r="G303" s="23" t="str">
        <x:v>Actual</x:v>
      </x:c>
      <x:c r="H303" s="23" t="str">
        <x:v>EUR</x:v>
      </x:c>
    </x:row>
    <x:row r="304">
      <x:c r="A304" s="23" t="str">
        <x:v>2025-06</x:v>
      </x:c>
      <x:c r="B304" s="23" t="str">
        <x:v>2025-06-30</x:v>
      </x:c>
      <x:c r="C304" s="23" t="str">
        <x:v>6300</x:v>
      </x:c>
      <x:c r="D304" s="23" t="str">
        <x:v>Resultado por venta de activos</x:v>
      </x:c>
      <x:c r="E304" s="24" t="n">
        <x:v>0</x:v>
      </x:c>
      <x:c r="F304" s="23" t="str">
        <x:v>ERP simulado</x:v>
      </x:c>
      <x:c r="G304" s="23" t="str">
        <x:v>Actual</x:v>
      </x:c>
      <x:c r="H304" s="23" t="str">
        <x:v>EUR</x:v>
      </x:c>
    </x:row>
    <x:row r="305">
      <x:c r="A305" s="23" t="str">
        <x:v>2025-06</x:v>
      </x:c>
      <x:c r="B305" s="23" t="str">
        <x:v>2025-06-30</x:v>
      </x:c>
      <x:c r="C305" s="23" t="str">
        <x:v>7000</x:v>
      </x:c>
      <x:c r="D305" s="23" t="str">
        <x:v>Gastos financieros</x:v>
      </x:c>
      <x:c r="E305" s="24" t="n">
        <x:v>-38138</x:v>
      </x:c>
      <x:c r="F305" s="23" t="str">
        <x:v>ERP simulado</x:v>
      </x:c>
      <x:c r="G305" s="23" t="str">
        <x:v>Actual</x:v>
      </x:c>
      <x:c r="H305" s="23" t="str">
        <x:v>EUR</x:v>
      </x:c>
    </x:row>
    <x:row r="306">
      <x:c r="A306" s="23" t="str">
        <x:v>2025-06</x:v>
      </x:c>
      <x:c r="B306" s="23" t="str">
        <x:v>2025-06-30</x:v>
      </x:c>
      <x:c r="C306" s="23" t="str">
        <x:v>7100</x:v>
      </x:c>
      <x:c r="D306" s="23" t="str">
        <x:v>Ingresos financieros</x:v>
      </x:c>
      <x:c r="E306" s="24" t="n">
        <x:v>2928</x:v>
      </x:c>
      <x:c r="F306" s="23" t="str">
        <x:v>ERP simulado</x:v>
      </x:c>
      <x:c r="G306" s="23" t="str">
        <x:v>Actual</x:v>
      </x:c>
      <x:c r="H306" s="23" t="str">
        <x:v>EUR</x:v>
      </x:c>
    </x:row>
    <x:row r="307">
      <x:c r="A307" s="23" t="str">
        <x:v>2025-06</x:v>
      </x:c>
      <x:c r="B307" s="23" t="str">
        <x:v>2025-06-30</x:v>
      </x:c>
      <x:c r="C307" s="23" t="str">
        <x:v>8000</x:v>
      </x:c>
      <x:c r="D307" s="23" t="str">
        <x:v>Impuesto sobre beneficios</x:v>
      </x:c>
      <x:c r="E307" s="24" t="n">
        <x:v>-49095</x:v>
      </x:c>
      <x:c r="F307" s="23" t="str">
        <x:v>ERP simulado</x:v>
      </x:c>
      <x:c r="G307" s="23" t="str">
        <x:v>Actual</x:v>
      </x:c>
      <x:c r="H307" s="23" t="str">
        <x:v>EUR</x:v>
      </x:c>
    </x:row>
    <x:row r="308">
      <x:c r="A308" s="23" t="str">
        <x:v>2025-07</x:v>
      </x:c>
      <x:c r="B308" s="23" t="str">
        <x:v>2025-07-31</x:v>
      </x:c>
      <x:c r="C308" s="23" t="str">
        <x:v>4000</x:v>
      </x:c>
      <x:c r="D308" s="23" t="str">
        <x:v>Ingresos por producto</x:v>
      </x:c>
      <x:c r="E308" s="24" t="n">
        <x:v>2226607</x:v>
      </x:c>
      <x:c r="F308" s="23" t="str">
        <x:v>ERP simulado</x:v>
      </x:c>
      <x:c r="G308" s="23" t="str">
        <x:v>Actual</x:v>
      </x:c>
      <x:c r="H308" s="23" t="str">
        <x:v>EUR</x:v>
      </x:c>
    </x:row>
    <x:row r="309">
      <x:c r="A309" s="23" t="str">
        <x:v>2025-07</x:v>
      </x:c>
      <x:c r="B309" s="23" t="str">
        <x:v>2025-07-31</x:v>
      </x:c>
      <x:c r="C309" s="23" t="str">
        <x:v>4010</x:v>
      </x:c>
      <x:c r="D309" s="23" t="str">
        <x:v>Ingresos por servicios</x:v>
      </x:c>
      <x:c r="E309" s="24" t="n">
        <x:v>890197</x:v>
      </x:c>
      <x:c r="F309" s="23" t="str">
        <x:v>ERP simulado</x:v>
      </x:c>
      <x:c r="G309" s="23" t="str">
        <x:v>Actual</x:v>
      </x:c>
      <x:c r="H309" s="23" t="str">
        <x:v>EUR</x:v>
      </x:c>
    </x:row>
    <x:row r="310">
      <x:c r="A310" s="23" t="str">
        <x:v>2025-07</x:v>
      </x:c>
      <x:c r="B310" s="23" t="str">
        <x:v>2025-07-31</x:v>
      </x:c>
      <x:c r="C310" s="23" t="str">
        <x:v>5000</x:v>
      </x:c>
      <x:c r="D310" s="23" t="str">
        <x:v>Materiales directos</x:v>
      </x:c>
      <x:c r="E310" s="24" t="n">
        <x:v>-1193736</x:v>
      </x:c>
      <x:c r="F310" s="23" t="str">
        <x:v>ERP simulado</x:v>
      </x:c>
      <x:c r="G310" s="23" t="str">
        <x:v>Actual</x:v>
      </x:c>
      <x:c r="H310" s="23" t="str">
        <x:v>EUR</x:v>
      </x:c>
    </x:row>
    <x:row r="311">
      <x:c r="A311" s="23" t="str">
        <x:v>2025-07</x:v>
      </x:c>
      <x:c r="B311" s="23" t="str">
        <x:v>2025-07-31</x:v>
      </x:c>
      <x:c r="C311" s="23" t="str">
        <x:v>5010</x:v>
      </x:c>
      <x:c r="D311" s="23" t="str">
        <x:v>Mano de obra directa</x:v>
      </x:c>
      <x:c r="E311" s="24" t="n">
        <x:v>-545441</x:v>
      </x:c>
      <x:c r="F311" s="23" t="str">
        <x:v>ERP simulado</x:v>
      </x:c>
      <x:c r="G311" s="23" t="str">
        <x:v>Actual</x:v>
      </x:c>
      <x:c r="H311" s="23" t="str">
        <x:v>EUR</x:v>
      </x:c>
    </x:row>
    <x:row r="312">
      <x:c r="A312" s="23" t="str">
        <x:v>2025-07</x:v>
      </x:c>
      <x:c r="B312" s="23" t="str">
        <x:v>2025-07-31</x:v>
      </x:c>
      <x:c r="C312" s="23" t="str">
        <x:v>5020</x:v>
      </x:c>
      <x:c r="D312" s="23" t="str">
        <x:v>Logística y subcontratación</x:v>
      </x:c>
      <x:c r="E312" s="24" t="n">
        <x:v>-193242</x:v>
      </x:c>
      <x:c r="F312" s="23" t="str">
        <x:v>ERP simulado</x:v>
      </x:c>
      <x:c r="G312" s="23" t="str">
        <x:v>Actual</x:v>
      </x:c>
      <x:c r="H312" s="23" t="str">
        <x:v>EUR</x:v>
      </x:c>
    </x:row>
    <x:row r="313">
      <x:c r="A313" s="23" t="str">
        <x:v>2025-07</x:v>
      </x:c>
      <x:c r="B313" s="23" t="str">
        <x:v>2025-07-31</x:v>
      </x:c>
      <x:c r="C313" s="23" t="str">
        <x:v>6000</x:v>
      </x:c>
      <x:c r="D313" s="23" t="str">
        <x:v>Gastos de personal</x:v>
      </x:c>
      <x:c r="E313" s="24" t="n">
        <x:v>-425688</x:v>
      </x:c>
      <x:c r="F313" s="23" t="str">
        <x:v>ERP simulado</x:v>
      </x:c>
      <x:c r="G313" s="23" t="str">
        <x:v>Actual</x:v>
      </x:c>
      <x:c r="H313" s="23" t="str">
        <x:v>EUR</x:v>
      </x:c>
    </x:row>
    <x:row r="314">
      <x:c r="A314" s="23" t="str">
        <x:v>2025-07</x:v>
      </x:c>
      <x:c r="B314" s="23" t="str">
        <x:v>2025-07-31</x:v>
      </x:c>
      <x:c r="C314" s="23" t="str">
        <x:v>6010</x:v>
      </x:c>
      <x:c r="D314" s="23" t="str">
        <x:v>Ventas y marketing</x:v>
      </x:c>
      <x:c r="E314" s="24" t="n">
        <x:v>-105971</x:v>
      </x:c>
      <x:c r="F314" s="23" t="str">
        <x:v>ERP simulado</x:v>
      </x:c>
      <x:c r="G314" s="23" t="str">
        <x:v>Actual</x:v>
      </x:c>
      <x:c r="H314" s="23" t="str">
        <x:v>EUR</x:v>
      </x:c>
    </x:row>
    <x:row r="315">
      <x:c r="A315" s="23" t="str">
        <x:v>2025-07</x:v>
      </x:c>
      <x:c r="B315" s="23" t="str">
        <x:v>2025-07-31</x:v>
      </x:c>
      <x:c r="C315" s="23" t="str">
        <x:v>6020</x:v>
      </x:c>
      <x:c r="D315" s="23" t="str">
        <x:v>IT y sistemas</x:v>
      </x:c>
      <x:c r="E315" s="24" t="n">
        <x:v>-56102</x:v>
      </x:c>
      <x:c r="F315" s="23" t="str">
        <x:v>ERP simulado</x:v>
      </x:c>
      <x:c r="G315" s="23" t="str">
        <x:v>Actual</x:v>
      </x:c>
      <x:c r="H315" s="23" t="str">
        <x:v>EUR</x:v>
      </x:c>
    </x:row>
    <x:row r="316">
      <x:c r="A316" s="23" t="str">
        <x:v>2025-07</x:v>
      </x:c>
      <x:c r="B316" s="23" t="str">
        <x:v>2025-07-31</x:v>
      </x:c>
      <x:c r="C316" s="23" t="str">
        <x:v>6030</x:v>
      </x:c>
      <x:c r="D316" s="23" t="str">
        <x:v>Alquileres e instalaciones</x:v>
      </x:c>
      <x:c r="E316" s="24" t="n">
        <x:v>-37402</x:v>
      </x:c>
      <x:c r="F316" s="23" t="str">
        <x:v>ERP simulado</x:v>
      </x:c>
      <x:c r="G316" s="23" t="str">
        <x:v>Actual</x:v>
      </x:c>
      <x:c r="H316" s="23" t="str">
        <x:v>EUR</x:v>
      </x:c>
    </x:row>
    <x:row r="317">
      <x:c r="A317" s="23" t="str">
        <x:v>2025-07</x:v>
      </x:c>
      <x:c r="B317" s="23" t="str">
        <x:v>2025-07-31</x:v>
      </x:c>
      <x:c r="C317" s="23" t="str">
        <x:v>6040</x:v>
      </x:c>
      <x:c r="D317" s="23" t="str">
        <x:v>Otros gastos operativos</x:v>
      </x:c>
      <x:c r="E317" s="24" t="n">
        <x:v>-74803</x:v>
      </x:c>
      <x:c r="F317" s="23" t="str">
        <x:v>ERP simulado</x:v>
      </x:c>
      <x:c r="G317" s="23" t="str">
        <x:v>Actual</x:v>
      </x:c>
      <x:c r="H317" s="23" t="str">
        <x:v>EUR</x:v>
      </x:c>
    </x:row>
    <x:row r="318">
      <x:c r="A318" s="23" t="str">
        <x:v>2025-07</x:v>
      </x:c>
      <x:c r="B318" s="23" t="str">
        <x:v>2025-07-31</x:v>
      </x:c>
      <x:c r="C318" s="23" t="str">
        <x:v>6100</x:v>
      </x:c>
      <x:c r="D318" s="23" t="str">
        <x:v>Depreciación</x:v>
      </x:c>
      <x:c r="E318" s="24" t="n">
        <x:v>-150000</x:v>
      </x:c>
      <x:c r="F318" s="23" t="str">
        <x:v>ERP simulado</x:v>
      </x:c>
      <x:c r="G318" s="23" t="str">
        <x:v>Actual</x:v>
      </x:c>
      <x:c r="H318" s="23" t="str">
        <x:v>EUR</x:v>
      </x:c>
    </x:row>
    <x:row r="319">
      <x:c r="A319" s="23" t="str">
        <x:v>2025-07</x:v>
      </x:c>
      <x:c r="B319" s="23" t="str">
        <x:v>2025-07-31</x:v>
      </x:c>
      <x:c r="C319" s="23" t="str">
        <x:v>6110</x:v>
      </x:c>
      <x:c r="D319" s="23" t="str">
        <x:v>Amortización</x:v>
      </x:c>
      <x:c r="E319" s="24" t="n">
        <x:v>-28300</x:v>
      </x:c>
      <x:c r="F319" s="23" t="str">
        <x:v>ERP simulado</x:v>
      </x:c>
      <x:c r="G319" s="23" t="str">
        <x:v>Actual</x:v>
      </x:c>
      <x:c r="H319" s="23" t="str">
        <x:v>EUR</x:v>
      </x:c>
    </x:row>
    <x:row r="320">
      <x:c r="A320" s="23" t="str">
        <x:v>2025-07</x:v>
      </x:c>
      <x:c r="B320" s="23" t="str">
        <x:v>2025-07-31</x:v>
      </x:c>
      <x:c r="C320" s="23" t="str">
        <x:v>6200</x:v>
      </x:c>
      <x:c r="D320" s="23" t="str">
        <x:v>Deterioros</x:v>
      </x:c>
      <x:c r="E320" s="24" t="n">
        <x:v>0</x:v>
      </x:c>
      <x:c r="F320" s="23" t="str">
        <x:v>ERP simulado</x:v>
      </x:c>
      <x:c r="G320" s="23" t="str">
        <x:v>Actual</x:v>
      </x:c>
      <x:c r="H320" s="23" t="str">
        <x:v>EUR</x:v>
      </x:c>
    </x:row>
    <x:row r="321">
      <x:c r="A321" s="23" t="str">
        <x:v>2025-07</x:v>
      </x:c>
      <x:c r="B321" s="23" t="str">
        <x:v>2025-07-31</x:v>
      </x:c>
      <x:c r="C321" s="23" t="str">
        <x:v>6300</x:v>
      </x:c>
      <x:c r="D321" s="23" t="str">
        <x:v>Resultado por venta de activos</x:v>
      </x:c>
      <x:c r="E321" s="24" t="n">
        <x:v>0</x:v>
      </x:c>
      <x:c r="F321" s="23" t="str">
        <x:v>ERP simulado</x:v>
      </x:c>
      <x:c r="G321" s="23" t="str">
        <x:v>Actual</x:v>
      </x:c>
      <x:c r="H321" s="23" t="str">
        <x:v>EUR</x:v>
      </x:c>
    </x:row>
    <x:row r="322">
      <x:c r="A322" s="23" t="str">
        <x:v>2025-07</x:v>
      </x:c>
      <x:c r="B322" s="23" t="str">
        <x:v>2025-07-31</x:v>
      </x:c>
      <x:c r="C322" s="23" t="str">
        <x:v>7000</x:v>
      </x:c>
      <x:c r="D322" s="23" t="str">
        <x:v>Gastos financieros</x:v>
      </x:c>
      <x:c r="E322" s="24" t="n">
        <x:v>-37575</x:v>
      </x:c>
      <x:c r="F322" s="23" t="str">
        <x:v>ERP simulado</x:v>
      </x:c>
      <x:c r="G322" s="23" t="str">
        <x:v>Actual</x:v>
      </x:c>
      <x:c r="H322" s="23" t="str">
        <x:v>EUR</x:v>
      </x:c>
    </x:row>
    <x:row r="323">
      <x:c r="A323" s="23" t="str">
        <x:v>2025-07</x:v>
      </x:c>
      <x:c r="B323" s="23" t="str">
        <x:v>2025-07-31</x:v>
      </x:c>
      <x:c r="C323" s="23" t="str">
        <x:v>7100</x:v>
      </x:c>
      <x:c r="D323" s="23" t="str">
        <x:v>Ingresos financieros</x:v>
      </x:c>
      <x:c r="E323" s="24" t="n">
        <x:v>2621</x:v>
      </x:c>
      <x:c r="F323" s="23" t="str">
        <x:v>ERP simulado</x:v>
      </x:c>
      <x:c r="G323" s="23" t="str">
        <x:v>Actual</x:v>
      </x:c>
      <x:c r="H323" s="23" t="str">
        <x:v>EUR</x:v>
      </x:c>
    </x:row>
    <x:row r="324">
      <x:c r="A324" s="23" t="str">
        <x:v>2025-07</x:v>
      </x:c>
      <x:c r="B324" s="23" t="str">
        <x:v>2025-07-31</x:v>
      </x:c>
      <x:c r="C324" s="23" t="str">
        <x:v>8000</x:v>
      </x:c>
      <x:c r="D324" s="23" t="str">
        <x:v>Impuesto sobre beneficios</x:v>
      </x:c>
      <x:c r="E324" s="24" t="n">
        <x:v>-67791</x:v>
      </x:c>
      <x:c r="F324" s="23" t="str">
        <x:v>ERP simulado</x:v>
      </x:c>
      <x:c r="G324" s="23" t="str">
        <x:v>Actual</x:v>
      </x:c>
      <x:c r="H324" s="23" t="str">
        <x:v>EUR</x:v>
      </x:c>
    </x:row>
    <x:row r="325">
      <x:c r="A325" s="23" t="str">
        <x:v>2025-08</x:v>
      </x:c>
      <x:c r="B325" s="23" t="str">
        <x:v>2025-08-31</x:v>
      </x:c>
      <x:c r="C325" s="23" t="str">
        <x:v>4000</x:v>
      </x:c>
      <x:c r="D325" s="23" t="str">
        <x:v>Ingresos por producto</x:v>
      </x:c>
      <x:c r="E325" s="24" t="n">
        <x:v>2110659</x:v>
      </x:c>
      <x:c r="F325" s="23" t="str">
        <x:v>ERP simulado</x:v>
      </x:c>
      <x:c r="G325" s="23" t="str">
        <x:v>Actual</x:v>
      </x:c>
      <x:c r="H325" s="23" t="str">
        <x:v>EUR</x:v>
      </x:c>
    </x:row>
    <x:row r="326">
      <x:c r="A326" s="23" t="str">
        <x:v>2025-08</x:v>
      </x:c>
      <x:c r="B326" s="23" t="str">
        <x:v>2025-08-31</x:v>
      </x:c>
      <x:c r="C326" s="23" t="str">
        <x:v>4010</x:v>
      </x:c>
      <x:c r="D326" s="23" t="str">
        <x:v>Ingresos por servicios</x:v>
      </x:c>
      <x:c r="E326" s="24" t="n">
        <x:v>861493</x:v>
      </x:c>
      <x:c r="F326" s="23" t="str">
        <x:v>ERP simulado</x:v>
      </x:c>
      <x:c r="G326" s="23" t="str">
        <x:v>Actual</x:v>
      </x:c>
      <x:c r="H326" s="23" t="str">
        <x:v>EUR</x:v>
      </x:c>
    </x:row>
    <x:row r="327">
      <x:c r="A327" s="23" t="str">
        <x:v>2025-08</x:v>
      </x:c>
      <x:c r="B327" s="23" t="str">
        <x:v>2025-08-31</x:v>
      </x:c>
      <x:c r="C327" s="23" t="str">
        <x:v>5000</x:v>
      </x:c>
      <x:c r="D327" s="23" t="str">
        <x:v>Materiales directos</x:v>
      </x:c>
      <x:c r="E327" s="24" t="n">
        <x:v>-1084835</x:v>
      </x:c>
      <x:c r="F327" s="23" t="str">
        <x:v>ERP simulado</x:v>
      </x:c>
      <x:c r="G327" s="23" t="str">
        <x:v>Actual</x:v>
      </x:c>
      <x:c r="H327" s="23" t="str">
        <x:v>EUR</x:v>
      </x:c>
    </x:row>
    <x:row r="328">
      <x:c r="A328" s="23" t="str">
        <x:v>2025-08</x:v>
      </x:c>
      <x:c r="B328" s="23" t="str">
        <x:v>2025-08-31</x:v>
      </x:c>
      <x:c r="C328" s="23" t="str">
        <x:v>5010</x:v>
      </x:c>
      <x:c r="D328" s="23" t="str">
        <x:v>Mano de obra directa</x:v>
      </x:c>
      <x:c r="E328" s="24" t="n">
        <x:v>-520127</x:v>
      </x:c>
      <x:c r="F328" s="23" t="str">
        <x:v>ERP simulado</x:v>
      </x:c>
      <x:c r="G328" s="23" t="str">
        <x:v>Actual</x:v>
      </x:c>
      <x:c r="H328" s="23" t="str">
        <x:v>EUR</x:v>
      </x:c>
    </x:row>
    <x:row r="329">
      <x:c r="A329" s="23" t="str">
        <x:v>2025-08</x:v>
      </x:c>
      <x:c r="B329" s="23" t="str">
        <x:v>2025-08-31</x:v>
      </x:c>
      <x:c r="C329" s="23" t="str">
        <x:v>5020</x:v>
      </x:c>
      <x:c r="D329" s="23" t="str">
        <x:v>Logística y subcontratación</x:v>
      </x:c>
      <x:c r="E329" s="24" t="n">
        <x:v>-184273</x:v>
      </x:c>
      <x:c r="F329" s="23" t="str">
        <x:v>ERP simulado</x:v>
      </x:c>
      <x:c r="G329" s="23" t="str">
        <x:v>Actual</x:v>
      </x:c>
      <x:c r="H329" s="23" t="str">
        <x:v>EUR</x:v>
      </x:c>
    </x:row>
    <x:row r="330">
      <x:c r="A330" s="23" t="str">
        <x:v>2025-08</x:v>
      </x:c>
      <x:c r="B330" s="23" t="str">
        <x:v>2025-08-31</x:v>
      </x:c>
      <x:c r="C330" s="23" t="str">
        <x:v>6000</x:v>
      </x:c>
      <x:c r="D330" s="23" t="str">
        <x:v>Gastos de personal</x:v>
      </x:c>
      <x:c r="E330" s="24" t="n">
        <x:v>-407408</x:v>
      </x:c>
      <x:c r="F330" s="23" t="str">
        <x:v>ERP simulado</x:v>
      </x:c>
      <x:c r="G330" s="23" t="str">
        <x:v>Actual</x:v>
      </x:c>
      <x:c r="H330" s="23" t="str">
        <x:v>EUR</x:v>
      </x:c>
    </x:row>
    <x:row r="331">
      <x:c r="A331" s="23" t="str">
        <x:v>2025-08</x:v>
      </x:c>
      <x:c r="B331" s="23" t="str">
        <x:v>2025-08-31</x:v>
      </x:c>
      <x:c r="C331" s="23" t="str">
        <x:v>6010</x:v>
      </x:c>
      <x:c r="D331" s="23" t="str">
        <x:v>Ventas y marketing</x:v>
      </x:c>
      <x:c r="E331" s="24" t="n">
        <x:v>-101053</x:v>
      </x:c>
      <x:c r="F331" s="23" t="str">
        <x:v>ERP simulado</x:v>
      </x:c>
      <x:c r="G331" s="23" t="str">
        <x:v>Actual</x:v>
      </x:c>
      <x:c r="H331" s="23" t="str">
        <x:v>EUR</x:v>
      </x:c>
    </x:row>
    <x:row r="332">
      <x:c r="A332" s="23" t="str">
        <x:v>2025-08</x:v>
      </x:c>
      <x:c r="B332" s="23" t="str">
        <x:v>2025-08-31</x:v>
      </x:c>
      <x:c r="C332" s="23" t="str">
        <x:v>6020</x:v>
      </x:c>
      <x:c r="D332" s="23" t="str">
        <x:v>IT y sistemas</x:v>
      </x:c>
      <x:c r="E332" s="24" t="n">
        <x:v>-53499</x:v>
      </x:c>
      <x:c r="F332" s="23" t="str">
        <x:v>ERP simulado</x:v>
      </x:c>
      <x:c r="G332" s="23" t="str">
        <x:v>Actual</x:v>
      </x:c>
      <x:c r="H332" s="23" t="str">
        <x:v>EUR</x:v>
      </x:c>
    </x:row>
    <x:row r="333">
      <x:c r="A333" s="23" t="str">
        <x:v>2025-08</x:v>
      </x:c>
      <x:c r="B333" s="23" t="str">
        <x:v>2025-08-31</x:v>
      </x:c>
      <x:c r="C333" s="23" t="str">
        <x:v>6030</x:v>
      </x:c>
      <x:c r="D333" s="23" t="str">
        <x:v>Alquileres e instalaciones</x:v>
      </x:c>
      <x:c r="E333" s="24" t="n">
        <x:v>-35666</x:v>
      </x:c>
      <x:c r="F333" s="23" t="str">
        <x:v>ERP simulado</x:v>
      </x:c>
      <x:c r="G333" s="23" t="str">
        <x:v>Actual</x:v>
      </x:c>
      <x:c r="H333" s="23" t="str">
        <x:v>EUR</x:v>
      </x:c>
    </x:row>
    <x:row r="334">
      <x:c r="A334" s="23" t="str">
        <x:v>2025-08</x:v>
      </x:c>
      <x:c r="B334" s="23" t="str">
        <x:v>2025-08-31</x:v>
      </x:c>
      <x:c r="C334" s="23" t="str">
        <x:v>6040</x:v>
      </x:c>
      <x:c r="D334" s="23" t="str">
        <x:v>Otros gastos operativos</x:v>
      </x:c>
      <x:c r="E334" s="24" t="n">
        <x:v>-71332</x:v>
      </x:c>
      <x:c r="F334" s="23" t="str">
        <x:v>ERP simulado</x:v>
      </x:c>
      <x:c r="G334" s="23" t="str">
        <x:v>Actual</x:v>
      </x:c>
      <x:c r="H334" s="23" t="str">
        <x:v>EUR</x:v>
      </x:c>
    </x:row>
    <x:row r="335">
      <x:c r="A335" s="23" t="str">
        <x:v>2025-08</x:v>
      </x:c>
      <x:c r="B335" s="23" t="str">
        <x:v>2025-08-31</x:v>
      </x:c>
      <x:c r="C335" s="23" t="str">
        <x:v>6100</x:v>
      </x:c>
      <x:c r="D335" s="23" t="str">
        <x:v>Depreciación</x:v>
      </x:c>
      <x:c r="E335" s="24" t="n">
        <x:v>-152500</x:v>
      </x:c>
      <x:c r="F335" s="23" t="str">
        <x:v>ERP simulado</x:v>
      </x:c>
      <x:c r="G335" s="23" t="str">
        <x:v>Actual</x:v>
      </x:c>
      <x:c r="H335" s="23" t="str">
        <x:v>EUR</x:v>
      </x:c>
    </x:row>
    <x:row r="336">
      <x:c r="A336" s="23" t="str">
        <x:v>2025-08</x:v>
      </x:c>
      <x:c r="B336" s="23" t="str">
        <x:v>2025-08-31</x:v>
      </x:c>
      <x:c r="C336" s="23" t="str">
        <x:v>6110</x:v>
      </x:c>
      <x:c r="D336" s="23" t="str">
        <x:v>Amortización</x:v>
      </x:c>
      <x:c r="E336" s="24" t="n">
        <x:v>-28650</x:v>
      </x:c>
      <x:c r="F336" s="23" t="str">
        <x:v>ERP simulado</x:v>
      </x:c>
      <x:c r="G336" s="23" t="str">
        <x:v>Actual</x:v>
      </x:c>
      <x:c r="H336" s="23" t="str">
        <x:v>EUR</x:v>
      </x:c>
    </x:row>
    <x:row r="337">
      <x:c r="A337" s="23" t="str">
        <x:v>2025-08</x:v>
      </x:c>
      <x:c r="B337" s="23" t="str">
        <x:v>2025-08-31</x:v>
      </x:c>
      <x:c r="C337" s="23" t="str">
        <x:v>6200</x:v>
      </x:c>
      <x:c r="D337" s="23" t="str">
        <x:v>Deterioros</x:v>
      </x:c>
      <x:c r="E337" s="24" t="n">
        <x:v>0</x:v>
      </x:c>
      <x:c r="F337" s="23" t="str">
        <x:v>ERP simulado</x:v>
      </x:c>
      <x:c r="G337" s="23" t="str">
        <x:v>Actual</x:v>
      </x:c>
      <x:c r="H337" s="23" t="str">
        <x:v>EUR</x:v>
      </x:c>
    </x:row>
    <x:row r="338">
      <x:c r="A338" s="23" t="str">
        <x:v>2025-08</x:v>
      </x:c>
      <x:c r="B338" s="23" t="str">
        <x:v>2025-08-31</x:v>
      </x:c>
      <x:c r="C338" s="23" t="str">
        <x:v>6300</x:v>
      </x:c>
      <x:c r="D338" s="23" t="str">
        <x:v>Resultado por venta de activos</x:v>
      </x:c>
      <x:c r="E338" s="24" t="n">
        <x:v>0</x:v>
      </x:c>
      <x:c r="F338" s="23" t="str">
        <x:v>ERP simulado</x:v>
      </x:c>
      <x:c r="G338" s="23" t="str">
        <x:v>Actual</x:v>
      </x:c>
      <x:c r="H338" s="23" t="str">
        <x:v>EUR</x:v>
      </x:c>
    </x:row>
    <x:row r="339">
      <x:c r="A339" s="23" t="str">
        <x:v>2025-08</x:v>
      </x:c>
      <x:c r="B339" s="23" t="str">
        <x:v>2025-08-31</x:v>
      </x:c>
      <x:c r="C339" s="23" t="str">
        <x:v>7000</x:v>
      </x:c>
      <x:c r="D339" s="23" t="str">
        <x:v>Gastos financieros</x:v>
      </x:c>
      <x:c r="E339" s="24" t="n">
        <x:v>-37575</x:v>
      </x:c>
      <x:c r="F339" s="23" t="str">
        <x:v>ERP simulado</x:v>
      </x:c>
      <x:c r="G339" s="23" t="str">
        <x:v>Actual</x:v>
      </x:c>
      <x:c r="H339" s="23" t="str">
        <x:v>EUR</x:v>
      </x:c>
    </x:row>
    <x:row r="340">
      <x:c r="A340" s="23" t="str">
        <x:v>2025-08</x:v>
      </x:c>
      <x:c r="B340" s="23" t="str">
        <x:v>2025-08-31</x:v>
      </x:c>
      <x:c r="C340" s="23" t="str">
        <x:v>7100</x:v>
      </x:c>
      <x:c r="D340" s="23" t="str">
        <x:v>Ingresos financieros</x:v>
      </x:c>
      <x:c r="E340" s="24" t="n">
        <x:v>3017</x:v>
      </x:c>
      <x:c r="F340" s="23" t="str">
        <x:v>ERP simulado</x:v>
      </x:c>
      <x:c r="G340" s="23" t="str">
        <x:v>Actual</x:v>
      </x:c>
      <x:c r="H340" s="23" t="str">
        <x:v>EUR</x:v>
      </x:c>
    </x:row>
    <x:row r="341">
      <x:c r="A341" s="23" t="str">
        <x:v>2025-08</x:v>
      </x:c>
      <x:c r="B341" s="23" t="str">
        <x:v>2025-08-31</x:v>
      </x:c>
      <x:c r="C341" s="23" t="str">
        <x:v>8000</x:v>
      </x:c>
      <x:c r="D341" s="23" t="str">
        <x:v>Impuesto sobre beneficios</x:v>
      </x:c>
      <x:c r="E341" s="24" t="n">
        <x:v>-74563</x:v>
      </x:c>
      <x:c r="F341" s="23" t="str">
        <x:v>ERP simulado</x:v>
      </x:c>
      <x:c r="G341" s="23" t="str">
        <x:v>Actual</x:v>
      </x:c>
      <x:c r="H341" s="23" t="str">
        <x:v>EUR</x:v>
      </x:c>
    </x:row>
    <x:row r="342">
      <x:c r="A342" s="23" t="str">
        <x:v>2025-09</x:v>
      </x:c>
      <x:c r="B342" s="23" t="str">
        <x:v>2025-09-30</x:v>
      </x:c>
      <x:c r="C342" s="23" t="str">
        <x:v>4000</x:v>
      </x:c>
      <x:c r="D342" s="23" t="str">
        <x:v>Ingresos por producto</x:v>
      </x:c>
      <x:c r="E342" s="24" t="n">
        <x:v>2411110</x:v>
      </x:c>
      <x:c r="F342" s="23" t="str">
        <x:v>ERP simulado</x:v>
      </x:c>
      <x:c r="G342" s="23" t="str">
        <x:v>Actual</x:v>
      </x:c>
      <x:c r="H342" s="23" t="str">
        <x:v>EUR</x:v>
      </x:c>
    </x:row>
    <x:row r="343">
      <x:c r="A343" s="23" t="str">
        <x:v>2025-09</x:v>
      </x:c>
      <x:c r="B343" s="23" t="str">
        <x:v>2025-09-30</x:v>
      </x:c>
      <x:c r="C343" s="23" t="str">
        <x:v>4010</x:v>
      </x:c>
      <x:c r="D343" s="23" t="str">
        <x:v>Ingresos por servicios</x:v>
      </x:c>
      <x:c r="E343" s="24" t="n">
        <x:v>999290</x:v>
      </x:c>
      <x:c r="F343" s="23" t="str">
        <x:v>ERP simulado</x:v>
      </x:c>
      <x:c r="G343" s="23" t="str">
        <x:v>Actual</x:v>
      </x:c>
      <x:c r="H343" s="23" t="str">
        <x:v>EUR</x:v>
      </x:c>
    </x:row>
    <x:row r="344">
      <x:c r="A344" s="23" t="str">
        <x:v>2025-09</x:v>
      </x:c>
      <x:c r="B344" s="23" t="str">
        <x:v>2025-09-30</x:v>
      </x:c>
      <x:c r="C344" s="23" t="str">
        <x:v>5000</x:v>
      </x:c>
      <x:c r="D344" s="23" t="str">
        <x:v>Materiales directos</x:v>
      </x:c>
      <x:c r="E344" s="24" t="n">
        <x:v>-1244796</x:v>
      </x:c>
      <x:c r="F344" s="23" t="str">
        <x:v>ERP simulado</x:v>
      </x:c>
      <x:c r="G344" s="23" t="str">
        <x:v>Actual</x:v>
      </x:c>
      <x:c r="H344" s="23" t="str">
        <x:v>EUR</x:v>
      </x:c>
    </x:row>
    <x:row r="345">
      <x:c r="A345" s="23" t="str">
        <x:v>2025-09</x:v>
      </x:c>
      <x:c r="B345" s="23" t="str">
        <x:v>2025-09-30</x:v>
      </x:c>
      <x:c r="C345" s="23" t="str">
        <x:v>5010</x:v>
      </x:c>
      <x:c r="D345" s="23" t="str">
        <x:v>Mano de obra directa</x:v>
      </x:c>
      <x:c r="E345" s="24" t="n">
        <x:v>-596820</x:v>
      </x:c>
      <x:c r="F345" s="23" t="str">
        <x:v>ERP simulado</x:v>
      </x:c>
      <x:c r="G345" s="23" t="str">
        <x:v>Actual</x:v>
      </x:c>
      <x:c r="H345" s="23" t="str">
        <x:v>EUR</x:v>
      </x:c>
    </x:row>
    <x:row r="346">
      <x:c r="A346" s="23" t="str">
        <x:v>2025-09</x:v>
      </x:c>
      <x:c r="B346" s="23" t="str">
        <x:v>2025-09-30</x:v>
      </x:c>
      <x:c r="C346" s="23" t="str">
        <x:v>5020</x:v>
      </x:c>
      <x:c r="D346" s="23" t="str">
        <x:v>Logística y subcontratación</x:v>
      </x:c>
      <x:c r="E346" s="24" t="n">
        <x:v>-211445</x:v>
      </x:c>
      <x:c r="F346" s="23" t="str">
        <x:v>ERP simulado</x:v>
      </x:c>
      <x:c r="G346" s="23" t="str">
        <x:v>Actual</x:v>
      </x:c>
      <x:c r="H346" s="23" t="str">
        <x:v>EUR</x:v>
      </x:c>
    </x:row>
    <x:row r="347">
      <x:c r="A347" s="23" t="str">
        <x:v>2025-09</x:v>
      </x:c>
      <x:c r="B347" s="23" t="str">
        <x:v>2025-09-30</x:v>
      </x:c>
      <x:c r="C347" s="23" t="str">
        <x:v>6000</x:v>
      </x:c>
      <x:c r="D347" s="23" t="str">
        <x:v>Gastos de personal</x:v>
      </x:c>
      <x:c r="E347" s="24" t="n">
        <x:v>-469160</x:v>
      </x:c>
      <x:c r="F347" s="23" t="str">
        <x:v>ERP simulado</x:v>
      </x:c>
      <x:c r="G347" s="23" t="str">
        <x:v>Actual</x:v>
      </x:c>
      <x:c r="H347" s="23" t="str">
        <x:v>EUR</x:v>
      </x:c>
    </x:row>
    <x:row r="348">
      <x:c r="A348" s="23" t="str">
        <x:v>2025-09</x:v>
      </x:c>
      <x:c r="B348" s="23" t="str">
        <x:v>2025-09-30</x:v>
      </x:c>
      <x:c r="C348" s="23" t="str">
        <x:v>6010</x:v>
      </x:c>
      <x:c r="D348" s="23" t="str">
        <x:v>Ventas y marketing</x:v>
      </x:c>
      <x:c r="E348" s="24" t="n">
        <x:v>-115954</x:v>
      </x:c>
      <x:c r="F348" s="23" t="str">
        <x:v>ERP simulado</x:v>
      </x:c>
      <x:c r="G348" s="23" t="str">
        <x:v>Actual</x:v>
      </x:c>
      <x:c r="H348" s="23" t="str">
        <x:v>EUR</x:v>
      </x:c>
    </x:row>
    <x:row r="349">
      <x:c r="A349" s="23" t="str">
        <x:v>2025-09</x:v>
      </x:c>
      <x:c r="B349" s="23" t="str">
        <x:v>2025-09-30</x:v>
      </x:c>
      <x:c r="C349" s="23" t="str">
        <x:v>6020</x:v>
      </x:c>
      <x:c r="D349" s="23" t="str">
        <x:v>IT y sistemas</x:v>
      </x:c>
      <x:c r="E349" s="24" t="n">
        <x:v>-61387</x:v>
      </x:c>
      <x:c r="F349" s="23" t="str">
        <x:v>ERP simulado</x:v>
      </x:c>
      <x:c r="G349" s="23" t="str">
        <x:v>Actual</x:v>
      </x:c>
      <x:c r="H349" s="23" t="str">
        <x:v>EUR</x:v>
      </x:c>
    </x:row>
    <x:row r="350">
      <x:c r="A350" s="23" t="str">
        <x:v>2025-09</x:v>
      </x:c>
      <x:c r="B350" s="23" t="str">
        <x:v>2025-09-30</x:v>
      </x:c>
      <x:c r="C350" s="23" t="str">
        <x:v>6030</x:v>
      </x:c>
      <x:c r="D350" s="23" t="str">
        <x:v>Alquileres e instalaciones</x:v>
      </x:c>
      <x:c r="E350" s="24" t="n">
        <x:v>-40925</x:v>
      </x:c>
      <x:c r="F350" s="23" t="str">
        <x:v>ERP simulado</x:v>
      </x:c>
      <x:c r="G350" s="23" t="str">
        <x:v>Actual</x:v>
      </x:c>
      <x:c r="H350" s="23" t="str">
        <x:v>EUR</x:v>
      </x:c>
    </x:row>
    <x:row r="351">
      <x:c r="A351" s="23" t="str">
        <x:v>2025-09</x:v>
      </x:c>
      <x:c r="B351" s="23" t="str">
        <x:v>2025-09-30</x:v>
      </x:c>
      <x:c r="C351" s="23" t="str">
        <x:v>6040</x:v>
      </x:c>
      <x:c r="D351" s="23" t="str">
        <x:v>Otros gastos operativos</x:v>
      </x:c>
      <x:c r="E351" s="24" t="n">
        <x:v>-81850</x:v>
      </x:c>
      <x:c r="F351" s="23" t="str">
        <x:v>ERP simulado</x:v>
      </x:c>
      <x:c r="G351" s="23" t="str">
        <x:v>Actual</x:v>
      </x:c>
      <x:c r="H351" s="23" t="str">
        <x:v>EUR</x:v>
      </x:c>
    </x:row>
    <x:row r="352">
      <x:c r="A352" s="23" t="str">
        <x:v>2025-09</x:v>
      </x:c>
      <x:c r="B352" s="23" t="str">
        <x:v>2025-09-30</x:v>
      </x:c>
      <x:c r="C352" s="23" t="str">
        <x:v>6100</x:v>
      </x:c>
      <x:c r="D352" s="23" t="str">
        <x:v>Depreciación</x:v>
      </x:c>
      <x:c r="E352" s="24" t="n">
        <x:v>-155000</x:v>
      </x:c>
      <x:c r="F352" s="23" t="str">
        <x:v>ERP simulado</x:v>
      </x:c>
      <x:c r="G352" s="23" t="str">
        <x:v>Actual</x:v>
      </x:c>
      <x:c r="H352" s="23" t="str">
        <x:v>EUR</x:v>
      </x:c>
    </x:row>
    <x:row r="353">
      <x:c r="A353" s="23" t="str">
        <x:v>2025-09</x:v>
      </x:c>
      <x:c r="B353" s="23" t="str">
        <x:v>2025-09-30</x:v>
      </x:c>
      <x:c r="C353" s="23" t="str">
        <x:v>6110</x:v>
      </x:c>
      <x:c r="D353" s="23" t="str">
        <x:v>Amortización</x:v>
      </x:c>
      <x:c r="E353" s="24" t="n">
        <x:v>-29000</x:v>
      </x:c>
      <x:c r="F353" s="23" t="str">
        <x:v>ERP simulado</x:v>
      </x:c>
      <x:c r="G353" s="23" t="str">
        <x:v>Actual</x:v>
      </x:c>
      <x:c r="H353" s="23" t="str">
        <x:v>EUR</x:v>
      </x:c>
    </x:row>
    <x:row r="354">
      <x:c r="A354" s="23" t="str">
        <x:v>2025-09</x:v>
      </x:c>
      <x:c r="B354" s="23" t="str">
        <x:v>2025-09-30</x:v>
      </x:c>
      <x:c r="C354" s="23" t="str">
        <x:v>6200</x:v>
      </x:c>
      <x:c r="D354" s="23" t="str">
        <x:v>Deterioros</x:v>
      </x:c>
      <x:c r="E354" s="24" t="n">
        <x:v>0</x:v>
      </x:c>
      <x:c r="F354" s="23" t="str">
        <x:v>ERP simulado</x:v>
      </x:c>
      <x:c r="G354" s="23" t="str">
        <x:v>Actual</x:v>
      </x:c>
      <x:c r="H354" s="23" t="str">
        <x:v>EUR</x:v>
      </x:c>
    </x:row>
    <x:row r="355">
      <x:c r="A355" s="23" t="str">
        <x:v>2025-09</x:v>
      </x:c>
      <x:c r="B355" s="23" t="str">
        <x:v>2025-09-30</x:v>
      </x:c>
      <x:c r="C355" s="23" t="str">
        <x:v>6300</x:v>
      </x:c>
      <x:c r="D355" s="23" t="str">
        <x:v>Resultado por venta de activos</x:v>
      </x:c>
      <x:c r="E355" s="24" t="n">
        <x:v>30000</x:v>
      </x:c>
      <x:c r="F355" s="23" t="str">
        <x:v>ERP simulado</x:v>
      </x:c>
      <x:c r="G355" s="23" t="str">
        <x:v>Actual</x:v>
      </x:c>
      <x:c r="H355" s="23" t="str">
        <x:v>EUR</x:v>
      </x:c>
    </x:row>
    <x:row r="356">
      <x:c r="A356" s="23" t="str">
        <x:v>2025-09</x:v>
      </x:c>
      <x:c r="B356" s="23" t="str">
        <x:v>2025-09-30</x:v>
      </x:c>
      <x:c r="C356" s="23" t="str">
        <x:v>7000</x:v>
      </x:c>
      <x:c r="D356" s="23" t="str">
        <x:v>Gastos financieros</x:v>
      </x:c>
      <x:c r="E356" s="24" t="n">
        <x:v>-37575</x:v>
      </x:c>
      <x:c r="F356" s="23" t="str">
        <x:v>ERP simulado</x:v>
      </x:c>
      <x:c r="G356" s="23" t="str">
        <x:v>Actual</x:v>
      </x:c>
      <x:c r="H356" s="23" t="str">
        <x:v>EUR</x:v>
      </x:c>
    </x:row>
    <x:row r="357">
      <x:c r="A357" s="23" t="str">
        <x:v>2025-09</x:v>
      </x:c>
      <x:c r="B357" s="23" t="str">
        <x:v>2025-09-30</x:v>
      </x:c>
      <x:c r="C357" s="23" t="str">
        <x:v>7100</x:v>
      </x:c>
      <x:c r="D357" s="23" t="str">
        <x:v>Ingresos financieros</x:v>
      </x:c>
      <x:c r="E357" s="24" t="n">
        <x:v>3479</x:v>
      </x:c>
      <x:c r="F357" s="23" t="str">
        <x:v>ERP simulado</x:v>
      </x:c>
      <x:c r="G357" s="23" t="str">
        <x:v>Actual</x:v>
      </x:c>
      <x:c r="H357" s="23" t="str">
        <x:v>EUR</x:v>
      </x:c>
    </x:row>
    <x:row r="358">
      <x:c r="A358" s="23" t="str">
        <x:v>2025-09</x:v>
      </x:c>
      <x:c r="B358" s="23" t="str">
        <x:v>2025-09-30</x:v>
      </x:c>
      <x:c r="C358" s="23" t="str">
        <x:v>8000</x:v>
      </x:c>
      <x:c r="D358" s="23" t="str">
        <x:v>Impuesto sobre beneficios</x:v>
      </x:c>
      <x:c r="E358" s="24" t="n">
        <x:v>-99992</x:v>
      </x:c>
      <x:c r="F358" s="23" t="str">
        <x:v>ERP simulado</x:v>
      </x:c>
      <x:c r="G358" s="23" t="str">
        <x:v>Actual</x:v>
      </x:c>
      <x:c r="H358" s="23" t="str">
        <x:v>EUR</x:v>
      </x:c>
    </x:row>
    <x:row r="359">
      <x:c r="A359" s="23" t="str">
        <x:v>2025-10</x:v>
      </x:c>
      <x:c r="B359" s="23" t="str">
        <x:v>2025-10-31</x:v>
      </x:c>
      <x:c r="C359" s="23" t="str">
        <x:v>4000</x:v>
      </x:c>
      <x:c r="D359" s="23" t="str">
        <x:v>Ingresos por producto</x:v>
      </x:c>
      <x:c r="E359" s="24" t="n">
        <x:v>2487201</x:v>
      </x:c>
      <x:c r="F359" s="23" t="str">
        <x:v>ERP simulado</x:v>
      </x:c>
      <x:c r="G359" s="23" t="str">
        <x:v>Actual</x:v>
      </x:c>
      <x:c r="H359" s="23" t="str">
        <x:v>EUR</x:v>
      </x:c>
    </x:row>
    <x:row r="360">
      <x:c r="A360" s="23" t="str">
        <x:v>2025-10</x:v>
      </x:c>
      <x:c r="B360" s="23" t="str">
        <x:v>2025-10-31</x:v>
      </x:c>
      <x:c r="C360" s="23" t="str">
        <x:v>4010</x:v>
      </x:c>
      <x:c r="D360" s="23" t="str">
        <x:v>Ingresos por servicios</x:v>
      </x:c>
      <x:c r="E360" s="24" t="n">
        <x:v>1039431</x:v>
      </x:c>
      <x:c r="F360" s="23" t="str">
        <x:v>ERP simulado</x:v>
      </x:c>
      <x:c r="G360" s="23" t="str">
        <x:v>Actual</x:v>
      </x:c>
      <x:c r="H360" s="23" t="str">
        <x:v>EUR</x:v>
      </x:c>
    </x:row>
    <x:row r="361">
      <x:c r="A361" s="23" t="str">
        <x:v>2025-10</x:v>
      </x:c>
      <x:c r="B361" s="23" t="str">
        <x:v>2025-10-31</x:v>
      </x:c>
      <x:c r="C361" s="23" t="str">
        <x:v>5000</x:v>
      </x:c>
      <x:c r="D361" s="23" t="str">
        <x:v>Materiales directos</x:v>
      </x:c>
      <x:c r="E361" s="24" t="n">
        <x:v>-1287221</x:v>
      </x:c>
      <x:c r="F361" s="23" t="str">
        <x:v>ERP simulado</x:v>
      </x:c>
      <x:c r="G361" s="23" t="str">
        <x:v>Actual</x:v>
      </x:c>
      <x:c r="H361" s="23" t="str">
        <x:v>EUR</x:v>
      </x:c>
    </x:row>
    <x:row r="362">
      <x:c r="A362" s="23" t="str">
        <x:v>2025-10</x:v>
      </x:c>
      <x:c r="B362" s="23" t="str">
        <x:v>2025-10-31</x:v>
      </x:c>
      <x:c r="C362" s="23" t="str">
        <x:v>5010</x:v>
      </x:c>
      <x:c r="D362" s="23" t="str">
        <x:v>Mano de obra directa</x:v>
      </x:c>
      <x:c r="E362" s="24" t="n">
        <x:v>-617161</x:v>
      </x:c>
      <x:c r="F362" s="23" t="str">
        <x:v>ERP simulado</x:v>
      </x:c>
      <x:c r="G362" s="23" t="str">
        <x:v>Actual</x:v>
      </x:c>
      <x:c r="H362" s="23" t="str">
        <x:v>EUR</x:v>
      </x:c>
    </x:row>
    <x:row r="363">
      <x:c r="A363" s="23" t="str">
        <x:v>2025-10</x:v>
      </x:c>
      <x:c r="B363" s="23" t="str">
        <x:v>2025-10-31</x:v>
      </x:c>
      <x:c r="C363" s="23" t="str">
        <x:v>5020</x:v>
      </x:c>
      <x:c r="D363" s="23" t="str">
        <x:v>Logística y subcontratación</x:v>
      </x:c>
      <x:c r="E363" s="24" t="n">
        <x:v>-218651</x:v>
      </x:c>
      <x:c r="F363" s="23" t="str">
        <x:v>ERP simulado</x:v>
      </x:c>
      <x:c r="G363" s="23" t="str">
        <x:v>Actual</x:v>
      </x:c>
      <x:c r="H363" s="23" t="str">
        <x:v>EUR</x:v>
      </x:c>
    </x:row>
    <x:row r="364">
      <x:c r="A364" s="23" t="str">
        <x:v>2025-10</x:v>
      </x:c>
      <x:c r="B364" s="23" t="str">
        <x:v>2025-10-31</x:v>
      </x:c>
      <x:c r="C364" s="23" t="str">
        <x:v>6000</x:v>
      </x:c>
      <x:c r="D364" s="23" t="str">
        <x:v>Gastos de personal</x:v>
      </x:c>
      <x:c r="E364" s="24" t="n">
        <x:v>-486760</x:v>
      </x:c>
      <x:c r="F364" s="23" t="str">
        <x:v>ERP simulado</x:v>
      </x:c>
      <x:c r="G364" s="23" t="str">
        <x:v>Actual</x:v>
      </x:c>
      <x:c r="H364" s="23" t="str">
        <x:v>EUR</x:v>
      </x:c>
    </x:row>
    <x:row r="365">
      <x:c r="A365" s="23" t="str">
        <x:v>2025-10</x:v>
      </x:c>
      <x:c r="B365" s="23" t="str">
        <x:v>2025-10-31</x:v>
      </x:c>
      <x:c r="C365" s="23" t="str">
        <x:v>6010</x:v>
      </x:c>
      <x:c r="D365" s="23" t="str">
        <x:v>Ventas y marketing</x:v>
      </x:c>
      <x:c r="E365" s="24" t="n">
        <x:v>-119905</x:v>
      </x:c>
      <x:c r="F365" s="23" t="str">
        <x:v>ERP simulado</x:v>
      </x:c>
      <x:c r="G365" s="23" t="str">
        <x:v>Actual</x:v>
      </x:c>
      <x:c r="H365" s="23" t="str">
        <x:v>EUR</x:v>
      </x:c>
    </x:row>
    <x:row r="366">
      <x:c r="A366" s="23" t="str">
        <x:v>2025-10</x:v>
      </x:c>
      <x:c r="B366" s="23" t="str">
        <x:v>2025-10-31</x:v>
      </x:c>
      <x:c r="C366" s="23" t="str">
        <x:v>6020</x:v>
      </x:c>
      <x:c r="D366" s="23" t="str">
        <x:v>IT y sistemas</x:v>
      </x:c>
      <x:c r="E366" s="24" t="n">
        <x:v>-63479</x:v>
      </x:c>
      <x:c r="F366" s="23" t="str">
        <x:v>ERP simulado</x:v>
      </x:c>
      <x:c r="G366" s="23" t="str">
        <x:v>Actual</x:v>
      </x:c>
      <x:c r="H366" s="23" t="str">
        <x:v>EUR</x:v>
      </x:c>
    </x:row>
    <x:row r="367">
      <x:c r="A367" s="23" t="str">
        <x:v>2025-10</x:v>
      </x:c>
      <x:c r="B367" s="23" t="str">
        <x:v>2025-10-31</x:v>
      </x:c>
      <x:c r="C367" s="23" t="str">
        <x:v>6030</x:v>
      </x:c>
      <x:c r="D367" s="23" t="str">
        <x:v>Alquileres e instalaciones</x:v>
      </x:c>
      <x:c r="E367" s="24" t="n">
        <x:v>-42320</x:v>
      </x:c>
      <x:c r="F367" s="23" t="str">
        <x:v>ERP simulado</x:v>
      </x:c>
      <x:c r="G367" s="23" t="str">
        <x:v>Actual</x:v>
      </x:c>
      <x:c r="H367" s="23" t="str">
        <x:v>EUR</x:v>
      </x:c>
    </x:row>
    <x:row r="368">
      <x:c r="A368" s="23" t="str">
        <x:v>2025-10</x:v>
      </x:c>
      <x:c r="B368" s="23" t="str">
        <x:v>2025-10-31</x:v>
      </x:c>
      <x:c r="C368" s="23" t="str">
        <x:v>6040</x:v>
      </x:c>
      <x:c r="D368" s="23" t="str">
        <x:v>Otros gastos operativos</x:v>
      </x:c>
      <x:c r="E368" s="24" t="n">
        <x:v>-84639</x:v>
      </x:c>
      <x:c r="F368" s="23" t="str">
        <x:v>ERP simulado</x:v>
      </x:c>
      <x:c r="G368" s="23" t="str">
        <x:v>Actual</x:v>
      </x:c>
      <x:c r="H368" s="23" t="str">
        <x:v>EUR</x:v>
      </x:c>
    </x:row>
    <x:row r="369">
      <x:c r="A369" s="23" t="str">
        <x:v>2025-10</x:v>
      </x:c>
      <x:c r="B369" s="23" t="str">
        <x:v>2025-10-31</x:v>
      </x:c>
      <x:c r="C369" s="23" t="str">
        <x:v>6100</x:v>
      </x:c>
      <x:c r="D369" s="23" t="str">
        <x:v>Depreciación</x:v>
      </x:c>
      <x:c r="E369" s="24" t="n">
        <x:v>-157500</x:v>
      </x:c>
      <x:c r="F369" s="23" t="str">
        <x:v>ERP simulado</x:v>
      </x:c>
      <x:c r="G369" s="23" t="str">
        <x:v>Actual</x:v>
      </x:c>
      <x:c r="H369" s="23" t="str">
        <x:v>EUR</x:v>
      </x:c>
    </x:row>
    <x:row r="370">
      <x:c r="A370" s="23" t="str">
        <x:v>2025-10</x:v>
      </x:c>
      <x:c r="B370" s="23" t="str">
        <x:v>2025-10-31</x:v>
      </x:c>
      <x:c r="C370" s="23" t="str">
        <x:v>6110</x:v>
      </x:c>
      <x:c r="D370" s="23" t="str">
        <x:v>Amortización</x:v>
      </x:c>
      <x:c r="E370" s="24" t="n">
        <x:v>-29350</x:v>
      </x:c>
      <x:c r="F370" s="23" t="str">
        <x:v>ERP simulado</x:v>
      </x:c>
      <x:c r="G370" s="23" t="str">
        <x:v>Actual</x:v>
      </x:c>
      <x:c r="H370" s="23" t="str">
        <x:v>EUR</x:v>
      </x:c>
    </x:row>
    <x:row r="371">
      <x:c r="A371" s="23" t="str">
        <x:v>2025-10</x:v>
      </x:c>
      <x:c r="B371" s="23" t="str">
        <x:v>2025-10-31</x:v>
      </x:c>
      <x:c r="C371" s="23" t="str">
        <x:v>6200</x:v>
      </x:c>
      <x:c r="D371" s="23" t="str">
        <x:v>Deterioros</x:v>
      </x:c>
      <x:c r="E371" s="24" t="n">
        <x:v>0</x:v>
      </x:c>
      <x:c r="F371" s="23" t="str">
        <x:v>ERP simulado</x:v>
      </x:c>
      <x:c r="G371" s="23" t="str">
        <x:v>Actual</x:v>
      </x:c>
      <x:c r="H371" s="23" t="str">
        <x:v>EUR</x:v>
      </x:c>
    </x:row>
    <x:row r="372">
      <x:c r="A372" s="23" t="str">
        <x:v>2025-10</x:v>
      </x:c>
      <x:c r="B372" s="23" t="str">
        <x:v>2025-10-31</x:v>
      </x:c>
      <x:c r="C372" s="23" t="str">
        <x:v>6300</x:v>
      </x:c>
      <x:c r="D372" s="23" t="str">
        <x:v>Resultado por venta de activos</x:v>
      </x:c>
      <x:c r="E372" s="24" t="n">
        <x:v>0</x:v>
      </x:c>
      <x:c r="F372" s="23" t="str">
        <x:v>ERP simulado</x:v>
      </x:c>
      <x:c r="G372" s="23" t="str">
        <x:v>Actual</x:v>
      </x:c>
      <x:c r="H372" s="23" t="str">
        <x:v>EUR</x:v>
      </x:c>
    </x:row>
    <x:row r="373">
      <x:c r="A373" s="23" t="str">
        <x:v>2025-10</x:v>
      </x:c>
      <x:c r="B373" s="23" t="str">
        <x:v>2025-10-31</x:v>
      </x:c>
      <x:c r="C373" s="23" t="str">
        <x:v>7000</x:v>
      </x:c>
      <x:c r="D373" s="23" t="str">
        <x:v>Gastos financieros</x:v>
      </x:c>
      <x:c r="E373" s="24" t="n">
        <x:v>-37013</x:v>
      </x:c>
      <x:c r="F373" s="23" t="str">
        <x:v>ERP simulado</x:v>
      </x:c>
      <x:c r="G373" s="23" t="str">
        <x:v>Actual</x:v>
      </x:c>
      <x:c r="H373" s="23" t="str">
        <x:v>EUR</x:v>
      </x:c>
    </x:row>
    <x:row r="374">
      <x:c r="A374" s="23" t="str">
        <x:v>2025-10</x:v>
      </x:c>
      <x:c r="B374" s="23" t="str">
        <x:v>2025-10-31</x:v>
      </x:c>
      <x:c r="C374" s="23" t="str">
        <x:v>7100</x:v>
      </x:c>
      <x:c r="D374" s="23" t="str">
        <x:v>Ingresos financieros</x:v>
      </x:c>
      <x:c r="E374" s="24" t="n">
        <x:v>4850</x:v>
      </x:c>
      <x:c r="F374" s="23" t="str">
        <x:v>ERP simulado</x:v>
      </x:c>
      <x:c r="G374" s="23" t="str">
        <x:v>Actual</x:v>
      </x:c>
      <x:c r="H374" s="23" t="str">
        <x:v>EUR</x:v>
      </x:c>
    </x:row>
    <x:row r="375">
      <x:c r="A375" s="23" t="str">
        <x:v>2025-10</x:v>
      </x:c>
      <x:c r="B375" s="23" t="str">
        <x:v>2025-10-31</x:v>
      </x:c>
      <x:c r="C375" s="23" t="str">
        <x:v>8000</x:v>
      </x:c>
      <x:c r="D375" s="23" t="str">
        <x:v>Impuesto sobre beneficios</x:v>
      </x:c>
      <x:c r="E375" s="24" t="n">
        <x:v>-96871</x:v>
      </x:c>
      <x:c r="F375" s="23" t="str">
        <x:v>ERP simulado</x:v>
      </x:c>
      <x:c r="G375" s="23" t="str">
        <x:v>Actual</x:v>
      </x:c>
      <x:c r="H375" s="23" t="str">
        <x:v>EUR</x:v>
      </x:c>
    </x:row>
    <x:row r="376">
      <x:c r="A376" s="23" t="str">
        <x:v>2025-11</x:v>
      </x:c>
      <x:c r="B376" s="23" t="str">
        <x:v>2025-11-30</x:v>
      </x:c>
      <x:c r="C376" s="23" t="str">
        <x:v>4000</x:v>
      </x:c>
      <x:c r="D376" s="23" t="str">
        <x:v>Ingresos por producto</x:v>
      </x:c>
      <x:c r="E376" s="24" t="n">
        <x:v>2592686</x:v>
      </x:c>
      <x:c r="F376" s="23" t="str">
        <x:v>ERP simulado</x:v>
      </x:c>
      <x:c r="G376" s="23" t="str">
        <x:v>Actual</x:v>
      </x:c>
      <x:c r="H376" s="23" t="str">
        <x:v>EUR</x:v>
      </x:c>
    </x:row>
    <x:row r="377">
      <x:c r="A377" s="23" t="str">
        <x:v>2025-11</x:v>
      </x:c>
      <x:c r="B377" s="23" t="str">
        <x:v>2025-11-30</x:v>
      </x:c>
      <x:c r="C377" s="23" t="str">
        <x:v>4010</x:v>
      </x:c>
      <x:c r="D377" s="23" t="str">
        <x:v>Ingresos por servicios</x:v>
      </x:c>
      <x:c r="E377" s="24" t="n">
        <x:v>1084050</x:v>
      </x:c>
      <x:c r="F377" s="23" t="str">
        <x:v>ERP simulado</x:v>
      </x:c>
      <x:c r="G377" s="23" t="str">
        <x:v>Actual</x:v>
      </x:c>
      <x:c r="H377" s="23" t="str">
        <x:v>EUR</x:v>
      </x:c>
    </x:row>
    <x:row r="378">
      <x:c r="A378" s="23" t="str">
        <x:v>2025-11</x:v>
      </x:c>
      <x:c r="B378" s="23" t="str">
        <x:v>2025-11-30</x:v>
      </x:c>
      <x:c r="C378" s="23" t="str">
        <x:v>5000</x:v>
      </x:c>
      <x:c r="D378" s="23" t="str">
        <x:v>Materiales directos</x:v>
      </x:c>
      <x:c r="E378" s="24" t="n">
        <x:v>-1342009</x:v>
      </x:c>
      <x:c r="F378" s="23" t="str">
        <x:v>ERP simulado</x:v>
      </x:c>
      <x:c r="G378" s="23" t="str">
        <x:v>Actual</x:v>
      </x:c>
      <x:c r="H378" s="23" t="str">
        <x:v>EUR</x:v>
      </x:c>
    </x:row>
    <x:row r="379">
      <x:c r="A379" s="23" t="str">
        <x:v>2025-11</x:v>
      </x:c>
      <x:c r="B379" s="23" t="str">
        <x:v>2025-11-30</x:v>
      </x:c>
      <x:c r="C379" s="23" t="str">
        <x:v>5010</x:v>
      </x:c>
      <x:c r="D379" s="23" t="str">
        <x:v>Mano de obra directa</x:v>
      </x:c>
      <x:c r="E379" s="24" t="n">
        <x:v>-643429</x:v>
      </x:c>
      <x:c r="F379" s="23" t="str">
        <x:v>ERP simulado</x:v>
      </x:c>
      <x:c r="G379" s="23" t="str">
        <x:v>Actual</x:v>
      </x:c>
      <x:c r="H379" s="23" t="str">
        <x:v>EUR</x:v>
      </x:c>
    </x:row>
    <x:row r="380">
      <x:c r="A380" s="23" t="str">
        <x:v>2025-11</x:v>
      </x:c>
      <x:c r="B380" s="23" t="str">
        <x:v>2025-11-30</x:v>
      </x:c>
      <x:c r="C380" s="23" t="str">
        <x:v>5020</x:v>
      </x:c>
      <x:c r="D380" s="23" t="str">
        <x:v>Logística y subcontratación</x:v>
      </x:c>
      <x:c r="E380" s="24" t="n">
        <x:v>-227958</x:v>
      </x:c>
      <x:c r="F380" s="23" t="str">
        <x:v>ERP simulado</x:v>
      </x:c>
      <x:c r="G380" s="23" t="str">
        <x:v>Actual</x:v>
      </x:c>
      <x:c r="H380" s="23" t="str">
        <x:v>EUR</x:v>
      </x:c>
    </x:row>
    <x:row r="381">
      <x:c r="A381" s="23" t="str">
        <x:v>2025-11</x:v>
      </x:c>
      <x:c r="B381" s="23" t="str">
        <x:v>2025-11-30</x:v>
      </x:c>
      <x:c r="C381" s="23" t="str">
        <x:v>6000</x:v>
      </x:c>
      <x:c r="D381" s="23" t="str">
        <x:v>Gastos de personal</x:v>
      </x:c>
      <x:c r="E381" s="24" t="n">
        <x:v>-508924</x:v>
      </x:c>
      <x:c r="F381" s="23" t="str">
        <x:v>ERP simulado</x:v>
      </x:c>
      <x:c r="G381" s="23" t="str">
        <x:v>Actual</x:v>
      </x:c>
      <x:c r="H381" s="23" t="str">
        <x:v>EUR</x:v>
      </x:c>
    </x:row>
    <x:row r="382">
      <x:c r="A382" s="23" t="str">
        <x:v>2025-11</x:v>
      </x:c>
      <x:c r="B382" s="23" t="str">
        <x:v>2025-11-30</x:v>
      </x:c>
      <x:c r="C382" s="23" t="str">
        <x:v>6010</x:v>
      </x:c>
      <x:c r="D382" s="23" t="str">
        <x:v>Ventas y marketing</x:v>
      </x:c>
      <x:c r="E382" s="24" t="n">
        <x:v>-125009</x:v>
      </x:c>
      <x:c r="F382" s="23" t="str">
        <x:v>ERP simulado</x:v>
      </x:c>
      <x:c r="G382" s="23" t="str">
        <x:v>Actual</x:v>
      </x:c>
      <x:c r="H382" s="23" t="str">
        <x:v>EUR</x:v>
      </x:c>
    </x:row>
    <x:row r="383">
      <x:c r="A383" s="23" t="str">
        <x:v>2025-11</x:v>
      </x:c>
      <x:c r="B383" s="23" t="str">
        <x:v>2025-11-30</x:v>
      </x:c>
      <x:c r="C383" s="23" t="str">
        <x:v>6020</x:v>
      </x:c>
      <x:c r="D383" s="23" t="str">
        <x:v>IT y sistemas</x:v>
      </x:c>
      <x:c r="E383" s="24" t="n">
        <x:v>-66181</x:v>
      </x:c>
      <x:c r="F383" s="23" t="str">
        <x:v>ERP simulado</x:v>
      </x:c>
      <x:c r="G383" s="23" t="str">
        <x:v>Actual</x:v>
      </x:c>
      <x:c r="H383" s="23" t="str">
        <x:v>EUR</x:v>
      </x:c>
    </x:row>
    <x:row r="384">
      <x:c r="A384" s="23" t="str">
        <x:v>2025-11</x:v>
      </x:c>
      <x:c r="B384" s="23" t="str">
        <x:v>2025-11-30</x:v>
      </x:c>
      <x:c r="C384" s="23" t="str">
        <x:v>6030</x:v>
      </x:c>
      <x:c r="D384" s="23" t="str">
        <x:v>Alquileres e instalaciones</x:v>
      </x:c>
      <x:c r="E384" s="24" t="n">
        <x:v>-44121</x:v>
      </x:c>
      <x:c r="F384" s="23" t="str">
        <x:v>ERP simulado</x:v>
      </x:c>
      <x:c r="G384" s="23" t="str">
        <x:v>Actual</x:v>
      </x:c>
      <x:c r="H384" s="23" t="str">
        <x:v>EUR</x:v>
      </x:c>
    </x:row>
    <x:row r="385">
      <x:c r="A385" s="23" t="str">
        <x:v>2025-11</x:v>
      </x:c>
      <x:c r="B385" s="23" t="str">
        <x:v>2025-11-30</x:v>
      </x:c>
      <x:c r="C385" s="23" t="str">
        <x:v>6040</x:v>
      </x:c>
      <x:c r="D385" s="23" t="str">
        <x:v>Otros gastos operativos</x:v>
      </x:c>
      <x:c r="E385" s="24" t="n">
        <x:v>-88242</x:v>
      </x:c>
      <x:c r="F385" s="23" t="str">
        <x:v>ERP simulado</x:v>
      </x:c>
      <x:c r="G385" s="23" t="str">
        <x:v>Actual</x:v>
      </x:c>
      <x:c r="H385" s="23" t="str">
        <x:v>EUR</x:v>
      </x:c>
    </x:row>
    <x:row r="386">
      <x:c r="A386" s="23" t="str">
        <x:v>2025-11</x:v>
      </x:c>
      <x:c r="B386" s="23" t="str">
        <x:v>2025-11-30</x:v>
      </x:c>
      <x:c r="C386" s="23" t="str">
        <x:v>6100</x:v>
      </x:c>
      <x:c r="D386" s="23" t="str">
        <x:v>Depreciación</x:v>
      </x:c>
      <x:c r="E386" s="24" t="n">
        <x:v>-160000</x:v>
      </x:c>
      <x:c r="F386" s="23" t="str">
        <x:v>ERP simulado</x:v>
      </x:c>
      <x:c r="G386" s="23" t="str">
        <x:v>Actual</x:v>
      </x:c>
      <x:c r="H386" s="23" t="str">
        <x:v>EUR</x:v>
      </x:c>
    </x:row>
    <x:row r="387">
      <x:c r="A387" s="23" t="str">
        <x:v>2025-11</x:v>
      </x:c>
      <x:c r="B387" s="23" t="str">
        <x:v>2025-11-30</x:v>
      </x:c>
      <x:c r="C387" s="23" t="str">
        <x:v>6110</x:v>
      </x:c>
      <x:c r="D387" s="23" t="str">
        <x:v>Amortización</x:v>
      </x:c>
      <x:c r="E387" s="24" t="n">
        <x:v>-29700</x:v>
      </x:c>
      <x:c r="F387" s="23" t="str">
        <x:v>ERP simulado</x:v>
      </x:c>
      <x:c r="G387" s="23" t="str">
        <x:v>Actual</x:v>
      </x:c>
      <x:c r="H387" s="23" t="str">
        <x:v>EUR</x:v>
      </x:c>
    </x:row>
    <x:row r="388">
      <x:c r="A388" s="23" t="str">
        <x:v>2025-11</x:v>
      </x:c>
      <x:c r="B388" s="23" t="str">
        <x:v>2025-11-30</x:v>
      </x:c>
      <x:c r="C388" s="23" t="str">
        <x:v>6200</x:v>
      </x:c>
      <x:c r="D388" s="23" t="str">
        <x:v>Deterioros</x:v>
      </x:c>
      <x:c r="E388" s="24" t="n">
        <x:v>0</x:v>
      </x:c>
      <x:c r="F388" s="23" t="str">
        <x:v>ERP simulado</x:v>
      </x:c>
      <x:c r="G388" s="23" t="str">
        <x:v>Actual</x:v>
      </x:c>
      <x:c r="H388" s="23" t="str">
        <x:v>EUR</x:v>
      </x:c>
    </x:row>
    <x:row r="389">
      <x:c r="A389" s="23" t="str">
        <x:v>2025-11</x:v>
      </x:c>
      <x:c r="B389" s="23" t="str">
        <x:v>2025-11-30</x:v>
      </x:c>
      <x:c r="C389" s="23" t="str">
        <x:v>6300</x:v>
      </x:c>
      <x:c r="D389" s="23" t="str">
        <x:v>Resultado por venta de activos</x:v>
      </x:c>
      <x:c r="E389" s="24" t="n">
        <x:v>0</x:v>
      </x:c>
      <x:c r="F389" s="23" t="str">
        <x:v>ERP simulado</x:v>
      </x:c>
      <x:c r="G389" s="23" t="str">
        <x:v>Actual</x:v>
      </x:c>
      <x:c r="H389" s="23" t="str">
        <x:v>EUR</x:v>
      </x:c>
    </x:row>
    <x:row r="390">
      <x:c r="A390" s="23" t="str">
        <x:v>2025-11</x:v>
      </x:c>
      <x:c r="B390" s="23" t="str">
        <x:v>2025-11-30</x:v>
      </x:c>
      <x:c r="C390" s="23" t="str">
        <x:v>7000</x:v>
      </x:c>
      <x:c r="D390" s="23" t="str">
        <x:v>Gastos financieros</x:v>
      </x:c>
      <x:c r="E390" s="24" t="n">
        <x:v>-37013</x:v>
      </x:c>
      <x:c r="F390" s="23" t="str">
        <x:v>ERP simulado</x:v>
      </x:c>
      <x:c r="G390" s="23" t="str">
        <x:v>Actual</x:v>
      </x:c>
      <x:c r="H390" s="23" t="str">
        <x:v>EUR</x:v>
      </x:c>
    </x:row>
    <x:row r="391">
      <x:c r="A391" s="23" t="str">
        <x:v>2025-11</x:v>
      </x:c>
      <x:c r="B391" s="23" t="str">
        <x:v>2025-11-30</x:v>
      </x:c>
      <x:c r="C391" s="23" t="str">
        <x:v>7100</x:v>
      </x:c>
      <x:c r="D391" s="23" t="str">
        <x:v>Ingresos financieros</x:v>
      </x:c>
      <x:c r="E391" s="24" t="n">
        <x:v>5014</x:v>
      </x:c>
      <x:c r="F391" s="23" t="str">
        <x:v>ERP simulado</x:v>
      </x:c>
      <x:c r="G391" s="23" t="str">
        <x:v>Actual</x:v>
      </x:c>
      <x:c r="H391" s="23" t="str">
        <x:v>EUR</x:v>
      </x:c>
    </x:row>
    <x:row r="392">
      <x:c r="A392" s="23" t="str">
        <x:v>2025-11</x:v>
      </x:c>
      <x:c r="B392" s="23" t="str">
        <x:v>2025-11-30</x:v>
      </x:c>
      <x:c r="C392" s="23" t="str">
        <x:v>8000</x:v>
      </x:c>
      <x:c r="D392" s="23" t="str">
        <x:v>Impuesto sobre beneficios</x:v>
      </x:c>
      <x:c r="E392" s="24" t="n">
        <x:v>-102291</x:v>
      </x:c>
      <x:c r="F392" s="23" t="str">
        <x:v>ERP simulado</x:v>
      </x:c>
      <x:c r="G392" s="23" t="str">
        <x:v>Actual</x:v>
      </x:c>
      <x:c r="H392" s="23" t="str">
        <x:v>EUR</x:v>
      </x:c>
    </x:row>
    <x:row r="393">
      <x:c r="A393" s="23" t="str">
        <x:v>2025-12</x:v>
      </x:c>
      <x:c r="B393" s="23" t="str">
        <x:v>2025-12-31</x:v>
      </x:c>
      <x:c r="C393" s="23" t="str">
        <x:v>4000</x:v>
      </x:c>
      <x:c r="D393" s="23" t="str">
        <x:v>Ingresos por producto</x:v>
      </x:c>
      <x:c r="E393" s="24" t="n">
        <x:v>2798664</x:v>
      </x:c>
      <x:c r="F393" s="23" t="str">
        <x:v>ERP simulado</x:v>
      </x:c>
      <x:c r="G393" s="23" t="str">
        <x:v>Actual</x:v>
      </x:c>
      <x:c r="H393" s="23" t="str">
        <x:v>EUR</x:v>
      </x:c>
    </x:row>
    <x:row r="394">
      <x:c r="A394" s="23" t="str">
        <x:v>2025-12</x:v>
      </x:c>
      <x:c r="B394" s="23" t="str">
        <x:v>2025-12-31</x:v>
      </x:c>
      <x:c r="C394" s="23" t="str">
        <x:v>4010</x:v>
      </x:c>
      <x:c r="D394" s="23" t="str">
        <x:v>Ingresos por servicios</x:v>
      </x:c>
      <x:c r="E394" s="24" t="n">
        <x:v>1161576</x:v>
      </x:c>
      <x:c r="F394" s="23" t="str">
        <x:v>ERP simulado</x:v>
      </x:c>
      <x:c r="G394" s="23" t="str">
        <x:v>Actual</x:v>
      </x:c>
      <x:c r="H394" s="23" t="str">
        <x:v>EUR</x:v>
      </x:c>
    </x:row>
    <x:row r="395">
      <x:c r="A395" s="23" t="str">
        <x:v>2025-12</x:v>
      </x:c>
      <x:c r="B395" s="23" t="str">
        <x:v>2025-12-31</x:v>
      </x:c>
      <x:c r="C395" s="23" t="str">
        <x:v>5000</x:v>
      </x:c>
      <x:c r="D395" s="23" t="str">
        <x:v>Materiales directos</x:v>
      </x:c>
      <x:c r="E395" s="24" t="n">
        <x:v>-1445488</x:v>
      </x:c>
      <x:c r="F395" s="23" t="str">
        <x:v>ERP simulado</x:v>
      </x:c>
      <x:c r="G395" s="23" t="str">
        <x:v>Actual</x:v>
      </x:c>
      <x:c r="H395" s="23" t="str">
        <x:v>EUR</x:v>
      </x:c>
    </x:row>
    <x:row r="396">
      <x:c r="A396" s="23" t="str">
        <x:v>2025-12</x:v>
      </x:c>
      <x:c r="B396" s="23" t="str">
        <x:v>2025-12-31</x:v>
      </x:c>
      <x:c r="C396" s="23" t="str">
        <x:v>5010</x:v>
      </x:c>
      <x:c r="D396" s="23" t="str">
        <x:v>Mano de obra directa</x:v>
      </x:c>
      <x:c r="E396" s="24" t="n">
        <x:v>-693042</x:v>
      </x:c>
      <x:c r="F396" s="23" t="str">
        <x:v>ERP simulado</x:v>
      </x:c>
      <x:c r="G396" s="23" t="str">
        <x:v>Actual</x:v>
      </x:c>
      <x:c r="H396" s="23" t="str">
        <x:v>EUR</x:v>
      </x:c>
    </x:row>
    <x:row r="397">
      <x:c r="A397" s="23" t="str">
        <x:v>2025-12</x:v>
      </x:c>
      <x:c r="B397" s="23" t="str">
        <x:v>2025-12-31</x:v>
      </x:c>
      <x:c r="C397" s="23" t="str">
        <x:v>5020</x:v>
      </x:c>
      <x:c r="D397" s="23" t="str">
        <x:v>Logística y subcontratación</x:v>
      </x:c>
      <x:c r="E397" s="24" t="n">
        <x:v>-245535</x:v>
      </x:c>
      <x:c r="F397" s="23" t="str">
        <x:v>ERP simulado</x:v>
      </x:c>
      <x:c r="G397" s="23" t="str">
        <x:v>Actual</x:v>
      </x:c>
      <x:c r="H397" s="23" t="str">
        <x:v>EUR</x:v>
      </x:c>
    </x:row>
    <x:row r="398">
      <x:c r="A398" s="23" t="str">
        <x:v>2025-12</x:v>
      </x:c>
      <x:c r="B398" s="23" t="str">
        <x:v>2025-12-31</x:v>
      </x:c>
      <x:c r="C398" s="23" t="str">
        <x:v>6000</x:v>
      </x:c>
      <x:c r="D398" s="23" t="str">
        <x:v>Gastos de personal</x:v>
      </x:c>
      <x:c r="E398" s="24" t="n">
        <x:v>-549374</x:v>
      </x:c>
      <x:c r="F398" s="23" t="str">
        <x:v>ERP simulado</x:v>
      </x:c>
      <x:c r="G398" s="23" t="str">
        <x:v>Actual</x:v>
      </x:c>
      <x:c r="H398" s="23" t="str">
        <x:v>EUR</x:v>
      </x:c>
    </x:row>
    <x:row r="399">
      <x:c r="A399" s="23" t="str">
        <x:v>2025-12</x:v>
      </x:c>
      <x:c r="B399" s="23" t="str">
        <x:v>2025-12-31</x:v>
      </x:c>
      <x:c r="C399" s="23" t="str">
        <x:v>6010</x:v>
      </x:c>
      <x:c r="D399" s="23" t="str">
        <x:v>Ventas y marketing</x:v>
      </x:c>
      <x:c r="E399" s="24" t="n">
        <x:v>-134648</x:v>
      </x:c>
      <x:c r="F399" s="23" t="str">
        <x:v>ERP simulado</x:v>
      </x:c>
      <x:c r="G399" s="23" t="str">
        <x:v>Actual</x:v>
      </x:c>
      <x:c r="H399" s="23" t="str">
        <x:v>EUR</x:v>
      </x:c>
    </x:row>
    <x:row r="400">
      <x:c r="A400" s="23" t="str">
        <x:v>2025-12</x:v>
      </x:c>
      <x:c r="B400" s="23" t="str">
        <x:v>2025-12-31</x:v>
      </x:c>
      <x:c r="C400" s="23" t="str">
        <x:v>6020</x:v>
      </x:c>
      <x:c r="D400" s="23" t="str">
        <x:v>IT y sistemas</x:v>
      </x:c>
      <x:c r="E400" s="24" t="n">
        <x:v>-71284</x:v>
      </x:c>
      <x:c r="F400" s="23" t="str">
        <x:v>ERP simulado</x:v>
      </x:c>
      <x:c r="G400" s="23" t="str">
        <x:v>Actual</x:v>
      </x:c>
      <x:c r="H400" s="23" t="str">
        <x:v>EUR</x:v>
      </x:c>
    </x:row>
    <x:row r="401">
      <x:c r="A401" s="23" t="str">
        <x:v>2025-12</x:v>
      </x:c>
      <x:c r="B401" s="23" t="str">
        <x:v>2025-12-31</x:v>
      </x:c>
      <x:c r="C401" s="23" t="str">
        <x:v>6030</x:v>
      </x:c>
      <x:c r="D401" s="23" t="str">
        <x:v>Alquileres e instalaciones</x:v>
      </x:c>
      <x:c r="E401" s="24" t="n">
        <x:v>-47523</x:v>
      </x:c>
      <x:c r="F401" s="23" t="str">
        <x:v>ERP simulado</x:v>
      </x:c>
      <x:c r="G401" s="23" t="str">
        <x:v>Actual</x:v>
      </x:c>
      <x:c r="H401" s="23" t="str">
        <x:v>EUR</x:v>
      </x:c>
    </x:row>
    <x:row r="402">
      <x:c r="A402" s="23" t="str">
        <x:v>2025-12</x:v>
      </x:c>
      <x:c r="B402" s="23" t="str">
        <x:v>2025-12-31</x:v>
      </x:c>
      <x:c r="C402" s="23" t="str">
        <x:v>6040</x:v>
      </x:c>
      <x:c r="D402" s="23" t="str">
        <x:v>Otros gastos operativos</x:v>
      </x:c>
      <x:c r="E402" s="24" t="n">
        <x:v>-95046</x:v>
      </x:c>
      <x:c r="F402" s="23" t="str">
        <x:v>ERP simulado</x:v>
      </x:c>
      <x:c r="G402" s="23" t="str">
        <x:v>Actual</x:v>
      </x:c>
      <x:c r="H402" s="23" t="str">
        <x:v>EUR</x:v>
      </x:c>
    </x:row>
    <x:row r="403">
      <x:c r="A403" s="23" t="str">
        <x:v>2025-12</x:v>
      </x:c>
      <x:c r="B403" s="23" t="str">
        <x:v>2025-12-31</x:v>
      </x:c>
      <x:c r="C403" s="23" t="str">
        <x:v>6100</x:v>
      </x:c>
      <x:c r="D403" s="23" t="str">
        <x:v>Depreciación</x:v>
      </x:c>
      <x:c r="E403" s="24" t="n">
        <x:v>-162500</x:v>
      </x:c>
      <x:c r="F403" s="23" t="str">
        <x:v>ERP simulado</x:v>
      </x:c>
      <x:c r="G403" s="23" t="str">
        <x:v>Actual</x:v>
      </x:c>
      <x:c r="H403" s="23" t="str">
        <x:v>EUR</x:v>
      </x:c>
    </x:row>
    <x:row r="404">
      <x:c r="A404" s="23" t="str">
        <x:v>2025-12</x:v>
      </x:c>
      <x:c r="B404" s="23" t="str">
        <x:v>2025-12-31</x:v>
      </x:c>
      <x:c r="C404" s="23" t="str">
        <x:v>6110</x:v>
      </x:c>
      <x:c r="D404" s="23" t="str">
        <x:v>Amortización</x:v>
      </x:c>
      <x:c r="E404" s="24" t="n">
        <x:v>-30050</x:v>
      </x:c>
      <x:c r="F404" s="23" t="str">
        <x:v>ERP simulado</x:v>
      </x:c>
      <x:c r="G404" s="23" t="str">
        <x:v>Actual</x:v>
      </x:c>
      <x:c r="H404" s="23" t="str">
        <x:v>EUR</x:v>
      </x:c>
    </x:row>
    <x:row r="405">
      <x:c r="A405" s="23" t="str">
        <x:v>2025-12</x:v>
      </x:c>
      <x:c r="B405" s="23" t="str">
        <x:v>2025-12-31</x:v>
      </x:c>
      <x:c r="C405" s="23" t="str">
        <x:v>6200</x:v>
      </x:c>
      <x:c r="D405" s="23" t="str">
        <x:v>Deterioros</x:v>
      </x:c>
      <x:c r="E405" s="24" t="n">
        <x:v>0</x:v>
      </x:c>
      <x:c r="F405" s="23" t="str">
        <x:v>ERP simulado</x:v>
      </x:c>
      <x:c r="G405" s="23" t="str">
        <x:v>Actual</x:v>
      </x:c>
      <x:c r="H405" s="23" t="str">
        <x:v>EUR</x:v>
      </x:c>
    </x:row>
    <x:row r="406">
      <x:c r="A406" s="23" t="str">
        <x:v>2025-12</x:v>
      </x:c>
      <x:c r="B406" s="23" t="str">
        <x:v>2025-12-31</x:v>
      </x:c>
      <x:c r="C406" s="23" t="str">
        <x:v>6300</x:v>
      </x:c>
      <x:c r="D406" s="23" t="str">
        <x:v>Resultado por venta de activos</x:v>
      </x:c>
      <x:c r="E406" s="24" t="n">
        <x:v>0</x:v>
      </x:c>
      <x:c r="F406" s="23" t="str">
        <x:v>ERP simulado</x:v>
      </x:c>
      <x:c r="G406" s="23" t="str">
        <x:v>Actual</x:v>
      </x:c>
      <x:c r="H406" s="23" t="str">
        <x:v>EUR</x:v>
      </x:c>
    </x:row>
    <x:row r="407">
      <x:c r="A407" s="23" t="str">
        <x:v>2025-12</x:v>
      </x:c>
      <x:c r="B407" s="23" t="str">
        <x:v>2025-12-31</x:v>
      </x:c>
      <x:c r="C407" s="23" t="str">
        <x:v>7000</x:v>
      </x:c>
      <x:c r="D407" s="23" t="str">
        <x:v>Gastos financieros</x:v>
      </x:c>
      <x:c r="E407" s="24" t="n">
        <x:v>-37013</x:v>
      </x:c>
      <x:c r="F407" s="23" t="str">
        <x:v>ERP simulado</x:v>
      </x:c>
      <x:c r="G407" s="23" t="str">
        <x:v>Actual</x:v>
      </x:c>
      <x:c r="H407" s="23" t="str">
        <x:v>EUR</x:v>
      </x:c>
    </x:row>
    <x:row r="408">
      <x:c r="A408" s="23" t="str">
        <x:v>2025-12</x:v>
      </x:c>
      <x:c r="B408" s="23" t="str">
        <x:v>2025-12-31</x:v>
      </x:c>
      <x:c r="C408" s="23" t="str">
        <x:v>7100</x:v>
      </x:c>
      <x:c r="D408" s="23" t="str">
        <x:v>Ingresos financieros</x:v>
      </x:c>
      <x:c r="E408" s="24" t="n">
        <x:v>4806</x:v>
      </x:c>
      <x:c r="F408" s="23" t="str">
        <x:v>ERP simulado</x:v>
      </x:c>
      <x:c r="G408" s="23" t="str">
        <x:v>Actual</x:v>
      </x:c>
      <x:c r="H408" s="23" t="str">
        <x:v>EUR</x:v>
      </x:c>
    </x:row>
    <x:row r="409">
      <x:c r="A409" s="23" t="str">
        <x:v>2025-12</x:v>
      </x:c>
      <x:c r="B409" s="23" t="str">
        <x:v>2025-12-31</x:v>
      </x:c>
      <x:c r="C409" s="23" t="str">
        <x:v>8000</x:v>
      </x:c>
      <x:c r="D409" s="23" t="str">
        <x:v>Impuesto sobre beneficios</x:v>
      </x:c>
      <x:c r="E409" s="24" t="n">
        <x:v>-113386</x:v>
      </x:c>
      <x:c r="F409" s="23" t="str">
        <x:v>ERP simulado</x:v>
      </x:c>
      <x:c r="G409" s="23" t="str">
        <x:v>Actual</x:v>
      </x:c>
      <x:c r="H409" s="23" t="str">
        <x:v>EUR</x:v>
      </x:c>
    </x:row>
    <x:row r="410">
      <x:c r="A410" s="23" t="str">
        <x:v>2026-01</x:v>
      </x:c>
      <x:c r="B410" s="23" t="str">
        <x:v>2026-01-31</x:v>
      </x:c>
      <x:c r="C410" s="23" t="str">
        <x:v>4000</x:v>
      </x:c>
      <x:c r="D410" s="23" t="str">
        <x:v>Ingresos por producto</x:v>
      </x:c>
      <x:c r="E410" s="24" t="n">
        <x:v>2119011</x:v>
      </x:c>
      <x:c r="F410" s="23" t="str">
        <x:v>ERP simulado</x:v>
      </x:c>
      <x:c r="G410" s="23" t="str">
        <x:v>Actual</x:v>
      </x:c>
      <x:c r="H410" s="23" t="str">
        <x:v>EUR</x:v>
      </x:c>
    </x:row>
    <x:row r="411">
      <x:c r="A411" s="23" t="str">
        <x:v>2026-01</x:v>
      </x:c>
      <x:c r="B411" s="23" t="str">
        <x:v>2026-01-31</x:v>
      </x:c>
      <x:c r="C411" s="23" t="str">
        <x:v>4010</x:v>
      </x:c>
      <x:c r="D411" s="23" t="str">
        <x:v>Ingresos por servicios</x:v>
      </x:c>
      <x:c r="E411" s="24" t="n">
        <x:v>866829</x:v>
      </x:c>
      <x:c r="F411" s="23" t="str">
        <x:v>ERP simulado</x:v>
      </x:c>
      <x:c r="G411" s="23" t="str">
        <x:v>Actual</x:v>
      </x:c>
      <x:c r="H411" s="23" t="str">
        <x:v>EUR</x:v>
      </x:c>
    </x:row>
    <x:row r="412">
      <x:c r="A412" s="23" t="str">
        <x:v>2026-01</x:v>
      </x:c>
      <x:c r="B412" s="23" t="str">
        <x:v>2026-01-31</x:v>
      </x:c>
      <x:c r="C412" s="23" t="str">
        <x:v>5000</x:v>
      </x:c>
      <x:c r="D412" s="23" t="str">
        <x:v>Materiales directos</x:v>
      </x:c>
      <x:c r="E412" s="24" t="n">
        <x:v>-1089832</x:v>
      </x:c>
      <x:c r="F412" s="23" t="str">
        <x:v>ERP simulado</x:v>
      </x:c>
      <x:c r="G412" s="23" t="str">
        <x:v>Actual</x:v>
      </x:c>
      <x:c r="H412" s="23" t="str">
        <x:v>EUR</x:v>
      </x:c>
    </x:row>
    <x:row r="413">
      <x:c r="A413" s="23" t="str">
        <x:v>2026-01</x:v>
      </x:c>
      <x:c r="B413" s="23" t="str">
        <x:v>2026-01-31</x:v>
      </x:c>
      <x:c r="C413" s="23" t="str">
        <x:v>5010</x:v>
      </x:c>
      <x:c r="D413" s="23" t="str">
        <x:v>Mano de obra directa</x:v>
      </x:c>
      <x:c r="E413" s="24" t="n">
        <x:v>-522522</x:v>
      </x:c>
      <x:c r="F413" s="23" t="str">
        <x:v>ERP simulado</x:v>
      </x:c>
      <x:c r="G413" s="23" t="str">
        <x:v>Actual</x:v>
      </x:c>
      <x:c r="H413" s="23" t="str">
        <x:v>EUR</x:v>
      </x:c>
    </x:row>
    <x:row r="414">
      <x:c r="A414" s="23" t="str">
        <x:v>2026-01</x:v>
      </x:c>
      <x:c r="B414" s="23" t="str">
        <x:v>2026-01-31</x:v>
      </x:c>
      <x:c r="C414" s="23" t="str">
        <x:v>5020</x:v>
      </x:c>
      <x:c r="D414" s="23" t="str">
        <x:v>Logística y subcontratación</x:v>
      </x:c>
      <x:c r="E414" s="24" t="n">
        <x:v>-185122</x:v>
      </x:c>
      <x:c r="F414" s="23" t="str">
        <x:v>ERP simulado</x:v>
      </x:c>
      <x:c r="G414" s="23" t="str">
        <x:v>Actual</x:v>
      </x:c>
      <x:c r="H414" s="23" t="str">
        <x:v>EUR</x:v>
      </x:c>
    </x:row>
    <x:row r="415">
      <x:c r="A415" s="23" t="str">
        <x:v>2026-01</x:v>
      </x:c>
      <x:c r="B415" s="23" t="str">
        <x:v>2026-01-31</x:v>
      </x:c>
      <x:c r="C415" s="23" t="str">
        <x:v>6000</x:v>
      </x:c>
      <x:c r="D415" s="23" t="str">
        <x:v>Gastos de personal</x:v>
      </x:c>
      <x:c r="E415" s="24" t="n">
        <x:v>-414794</x:v>
      </x:c>
      <x:c r="F415" s="23" t="str">
        <x:v>ERP simulado</x:v>
      </x:c>
      <x:c r="G415" s="23" t="str">
        <x:v>Actual</x:v>
      </x:c>
      <x:c r="H415" s="23" t="str">
        <x:v>EUR</x:v>
      </x:c>
    </x:row>
    <x:row r="416">
      <x:c r="A416" s="23" t="str">
        <x:v>2026-01</x:v>
      </x:c>
      <x:c r="B416" s="23" t="str">
        <x:v>2026-01-31</x:v>
      </x:c>
      <x:c r="C416" s="23" t="str">
        <x:v>6010</x:v>
      </x:c>
      <x:c r="D416" s="23" t="str">
        <x:v>Ventas y marketing</x:v>
      </x:c>
      <x:c r="E416" s="24" t="n">
        <x:v>-101519</x:v>
      </x:c>
      <x:c r="F416" s="23" t="str">
        <x:v>ERP simulado</x:v>
      </x:c>
      <x:c r="G416" s="23" t="str">
        <x:v>Actual</x:v>
      </x:c>
      <x:c r="H416" s="23" t="str">
        <x:v>EUR</x:v>
      </x:c>
    </x:row>
    <x:row r="417">
      <x:c r="A417" s="23" t="str">
        <x:v>2026-01</x:v>
      </x:c>
      <x:c r="B417" s="23" t="str">
        <x:v>2026-01-31</x:v>
      </x:c>
      <x:c r="C417" s="23" t="str">
        <x:v>6020</x:v>
      </x:c>
      <x:c r="D417" s="23" t="str">
        <x:v>IT y sistemas</x:v>
      </x:c>
      <x:c r="E417" s="24" t="n">
        <x:v>-65688</x:v>
      </x:c>
      <x:c r="F417" s="23" t="str">
        <x:v>ERP simulado</x:v>
      </x:c>
      <x:c r="G417" s="23" t="str">
        <x:v>Actual</x:v>
      </x:c>
      <x:c r="H417" s="23" t="str">
        <x:v>EUR</x:v>
      </x:c>
    </x:row>
    <x:row r="418">
      <x:c r="A418" s="23" t="str">
        <x:v>2026-01</x:v>
      </x:c>
      <x:c r="B418" s="23" t="str">
        <x:v>2026-01-31</x:v>
      </x:c>
      <x:c r="C418" s="23" t="str">
        <x:v>6030</x:v>
      </x:c>
      <x:c r="D418" s="23" t="str">
        <x:v>Alquileres e instalaciones</x:v>
      </x:c>
      <x:c r="E418" s="24" t="n">
        <x:v>-35830</x:v>
      </x:c>
      <x:c r="F418" s="23" t="str">
        <x:v>ERP simulado</x:v>
      </x:c>
      <x:c r="G418" s="23" t="str">
        <x:v>Actual</x:v>
      </x:c>
      <x:c r="H418" s="23" t="str">
        <x:v>EUR</x:v>
      </x:c>
    </x:row>
    <x:row r="419">
      <x:c r="A419" s="23" t="str">
        <x:v>2026-01</x:v>
      </x:c>
      <x:c r="B419" s="23" t="str">
        <x:v>2026-01-31</x:v>
      </x:c>
      <x:c r="C419" s="23" t="str">
        <x:v>6040</x:v>
      </x:c>
      <x:c r="D419" s="23" t="str">
        <x:v>Otros gastos operativos</x:v>
      </x:c>
      <x:c r="E419" s="24" t="n">
        <x:v>-71660</x:v>
      </x:c>
      <x:c r="F419" s="23" t="str">
        <x:v>ERP simulado</x:v>
      </x:c>
      <x:c r="G419" s="23" t="str">
        <x:v>Actual</x:v>
      </x:c>
      <x:c r="H419" s="23" t="str">
        <x:v>EUR</x:v>
      </x:c>
    </x:row>
    <x:row r="420">
      <x:c r="A420" s="23" t="str">
        <x:v>2026-01</x:v>
      </x:c>
      <x:c r="B420" s="23" t="str">
        <x:v>2026-01-31</x:v>
      </x:c>
      <x:c r="C420" s="23" t="str">
        <x:v>6100</x:v>
      </x:c>
      <x:c r="D420" s="23" t="str">
        <x:v>Depreciación</x:v>
      </x:c>
      <x:c r="E420" s="24" t="n">
        <x:v>-165000</x:v>
      </x:c>
      <x:c r="F420" s="23" t="str">
        <x:v>ERP simulado</x:v>
      </x:c>
      <x:c r="G420" s="23" t="str">
        <x:v>Actual</x:v>
      </x:c>
      <x:c r="H420" s="23" t="str">
        <x:v>EUR</x:v>
      </x:c>
    </x:row>
    <x:row r="421">
      <x:c r="A421" s="23" t="str">
        <x:v>2026-01</x:v>
      </x:c>
      <x:c r="B421" s="23" t="str">
        <x:v>2026-01-31</x:v>
      </x:c>
      <x:c r="C421" s="23" t="str">
        <x:v>6110</x:v>
      </x:c>
      <x:c r="D421" s="23" t="str">
        <x:v>Amortización</x:v>
      </x:c>
      <x:c r="E421" s="24" t="n">
        <x:v>-30400</x:v>
      </x:c>
      <x:c r="F421" s="23" t="str">
        <x:v>ERP simulado</x:v>
      </x:c>
      <x:c r="G421" s="23" t="str">
        <x:v>Actual</x:v>
      </x:c>
      <x:c r="H421" s="23" t="str">
        <x:v>EUR</x:v>
      </x:c>
    </x:row>
    <x:row r="422">
      <x:c r="A422" s="23" t="str">
        <x:v>2026-01</x:v>
      </x:c>
      <x:c r="B422" s="23" t="str">
        <x:v>2026-01-31</x:v>
      </x:c>
      <x:c r="C422" s="23" t="str">
        <x:v>6200</x:v>
      </x:c>
      <x:c r="D422" s="23" t="str">
        <x:v>Deterioros</x:v>
      </x:c>
      <x:c r="E422" s="24" t="n">
        <x:v>0</x:v>
      </x:c>
      <x:c r="F422" s="23" t="str">
        <x:v>ERP simulado</x:v>
      </x:c>
      <x:c r="G422" s="23" t="str">
        <x:v>Actual</x:v>
      </x:c>
      <x:c r="H422" s="23" t="str">
        <x:v>EUR</x:v>
      </x:c>
    </x:row>
    <x:row r="423">
      <x:c r="A423" s="23" t="str">
        <x:v>2026-01</x:v>
      </x:c>
      <x:c r="B423" s="23" t="str">
        <x:v>2026-01-31</x:v>
      </x:c>
      <x:c r="C423" s="23" t="str">
        <x:v>6300</x:v>
      </x:c>
      <x:c r="D423" s="23" t="str">
        <x:v>Resultado por venta de activos</x:v>
      </x:c>
      <x:c r="E423" s="24" t="n">
        <x:v>0</x:v>
      </x:c>
      <x:c r="F423" s="23" t="str">
        <x:v>ERP simulado</x:v>
      </x:c>
      <x:c r="G423" s="23" t="str">
        <x:v>Actual</x:v>
      </x:c>
      <x:c r="H423" s="23" t="str">
        <x:v>EUR</x:v>
      </x:c>
    </x:row>
    <x:row r="424">
      <x:c r="A424" s="23" t="str">
        <x:v>2026-01</x:v>
      </x:c>
      <x:c r="B424" s="23" t="str">
        <x:v>2026-01-31</x:v>
      </x:c>
      <x:c r="C424" s="23" t="str">
        <x:v>7000</x:v>
      </x:c>
      <x:c r="D424" s="23" t="str">
        <x:v>Gastos financieros</x:v>
      </x:c>
      <x:c r="E424" s="24" t="n">
        <x:v>-36450</x:v>
      </x:c>
      <x:c r="F424" s="23" t="str">
        <x:v>ERP simulado</x:v>
      </x:c>
      <x:c r="G424" s="23" t="str">
        <x:v>Actual</x:v>
      </x:c>
      <x:c r="H424" s="23" t="str">
        <x:v>EUR</x:v>
      </x:c>
    </x:row>
    <x:row r="425">
      <x:c r="A425" s="23" t="str">
        <x:v>2026-01</x:v>
      </x:c>
      <x:c r="B425" s="23" t="str">
        <x:v>2026-01-31</x:v>
      </x:c>
      <x:c r="C425" s="23" t="str">
        <x:v>7100</x:v>
      </x:c>
      <x:c r="D425" s="23" t="str">
        <x:v>Ingresos financieros</x:v>
      </x:c>
      <x:c r="E425" s="24" t="n">
        <x:v>4496</x:v>
      </x:c>
      <x:c r="F425" s="23" t="str">
        <x:v>ERP simulado</x:v>
      </x:c>
      <x:c r="G425" s="23" t="str">
        <x:v>Actual</x:v>
      </x:c>
      <x:c r="H425" s="23" t="str">
        <x:v>EUR</x:v>
      </x:c>
    </x:row>
    <x:row r="426">
      <x:c r="A426" s="23" t="str">
        <x:v>2026-01</x:v>
      </x:c>
      <x:c r="B426" s="23" t="str">
        <x:v>2026-01-31</x:v>
      </x:c>
      <x:c r="C426" s="23" t="str">
        <x:v>8000</x:v>
      </x:c>
      <x:c r="D426" s="23" t="str">
        <x:v>Impuesto sobre beneficios</x:v>
      </x:c>
      <x:c r="E426" s="24" t="n">
        <x:v>-67880</x:v>
      </x:c>
      <x:c r="F426" s="23" t="str">
        <x:v>ERP simulado</x:v>
      </x:c>
      <x:c r="G426" s="23" t="str">
        <x:v>Actual</x:v>
      </x:c>
      <x:c r="H426" s="23" t="str">
        <x:v>EUR</x:v>
      </x:c>
    </x:row>
    <x:row r="427">
      <x:c r="A427" s="23" t="str">
        <x:v>2026-02</x:v>
      </x:c>
      <x:c r="B427" s="23" t="str">
        <x:v>2026-02-28</x:v>
      </x:c>
      <x:c r="C427" s="23" t="str">
        <x:v>4000</x:v>
      </x:c>
      <x:c r="D427" s="23" t="str">
        <x:v>Ingresos por producto</x:v>
      </x:c>
      <x:c r="E427" s="24" t="n">
        <x:v>2213943</x:v>
      </x:c>
      <x:c r="F427" s="23" t="str">
        <x:v>ERP simulado</x:v>
      </x:c>
      <x:c r="G427" s="23" t="str">
        <x:v>Actual</x:v>
      </x:c>
      <x:c r="H427" s="23" t="str">
        <x:v>EUR</x:v>
      </x:c>
    </x:row>
    <x:row r="428">
      <x:c r="A428" s="23" t="str">
        <x:v>2026-02</x:v>
      </x:c>
      <x:c r="B428" s="23" t="str">
        <x:v>2026-02-28</x:v>
      </x:c>
      <x:c r="C428" s="23" t="str">
        <x:v>4010</x:v>
      </x:c>
      <x:c r="D428" s="23" t="str">
        <x:v>Ingresos por servicios</x:v>
      </x:c>
      <x:c r="E428" s="24" t="n">
        <x:v>887607</x:v>
      </x:c>
      <x:c r="F428" s="23" t="str">
        <x:v>ERP simulado</x:v>
      </x:c>
      <x:c r="G428" s="23" t="str">
        <x:v>Actual</x:v>
      </x:c>
      <x:c r="H428" s="23" t="str">
        <x:v>EUR</x:v>
      </x:c>
    </x:row>
    <x:row r="429">
      <x:c r="A429" s="23" t="str">
        <x:v>2026-02</x:v>
      </x:c>
      <x:c r="B429" s="23" t="str">
        <x:v>2026-02-28</x:v>
      </x:c>
      <x:c r="C429" s="23" t="str">
        <x:v>5000</x:v>
      </x:c>
      <x:c r="D429" s="23" t="str">
        <x:v>Materiales directos</x:v>
      </x:c>
      <x:c r="E429" s="24" t="n">
        <x:v>-1132066</x:v>
      </x:c>
      <x:c r="F429" s="23" t="str">
        <x:v>ERP simulado</x:v>
      </x:c>
      <x:c r="G429" s="23" t="str">
        <x:v>Actual</x:v>
      </x:c>
      <x:c r="H429" s="23" t="str">
        <x:v>EUR</x:v>
      </x:c>
    </x:row>
    <x:row r="430">
      <x:c r="A430" s="23" t="str">
        <x:v>2026-02</x:v>
      </x:c>
      <x:c r="B430" s="23" t="str">
        <x:v>2026-02-28</x:v>
      </x:c>
      <x:c r="C430" s="23" t="str">
        <x:v>5010</x:v>
      </x:c>
      <x:c r="D430" s="23" t="str">
        <x:v>Mano de obra directa</x:v>
      </x:c>
      <x:c r="E430" s="24" t="n">
        <x:v>-542771</x:v>
      </x:c>
      <x:c r="F430" s="23" t="str">
        <x:v>ERP simulado</x:v>
      </x:c>
      <x:c r="G430" s="23" t="str">
        <x:v>Actual</x:v>
      </x:c>
      <x:c r="H430" s="23" t="str">
        <x:v>EUR</x:v>
      </x:c>
    </x:row>
    <x:row r="431">
      <x:c r="A431" s="23" t="str">
        <x:v>2026-02</x:v>
      </x:c>
      <x:c r="B431" s="23" t="str">
        <x:v>2026-02-28</x:v>
      </x:c>
      <x:c r="C431" s="23" t="str">
        <x:v>5020</x:v>
      </x:c>
      <x:c r="D431" s="23" t="str">
        <x:v>Logística y subcontratación</x:v>
      </x:c>
      <x:c r="E431" s="24" t="n">
        <x:v>-192296</x:v>
      </x:c>
      <x:c r="F431" s="23" t="str">
        <x:v>ERP simulado</x:v>
      </x:c>
      <x:c r="G431" s="23" t="str">
        <x:v>Actual</x:v>
      </x:c>
      <x:c r="H431" s="23" t="str">
        <x:v>EUR</x:v>
      </x:c>
    </x:row>
    <x:row r="432">
      <x:c r="A432" s="23" t="str">
        <x:v>2026-02</x:v>
      </x:c>
      <x:c r="B432" s="23" t="str">
        <x:v>2026-02-28</x:v>
      </x:c>
      <x:c r="C432" s="23" t="str">
        <x:v>6000</x:v>
      </x:c>
      <x:c r="D432" s="23" t="str">
        <x:v>Gastos de personal</x:v>
      </x:c>
      <x:c r="E432" s="24" t="n">
        <x:v>-431112</x:v>
      </x:c>
      <x:c r="F432" s="23" t="str">
        <x:v>ERP simulado</x:v>
      </x:c>
      <x:c r="G432" s="23" t="str">
        <x:v>Actual</x:v>
      </x:c>
      <x:c r="H432" s="23" t="str">
        <x:v>EUR</x:v>
      </x:c>
    </x:row>
    <x:row r="433">
      <x:c r="A433" s="23" t="str">
        <x:v>2026-02</x:v>
      </x:c>
      <x:c r="B433" s="23" t="str">
        <x:v>2026-02-28</x:v>
      </x:c>
      <x:c r="C433" s="23" t="str">
        <x:v>6010</x:v>
      </x:c>
      <x:c r="D433" s="23" t="str">
        <x:v>Ventas y marketing</x:v>
      </x:c>
      <x:c r="E433" s="24" t="n">
        <x:v>-105453</x:v>
      </x:c>
      <x:c r="F433" s="23" t="str">
        <x:v>ERP simulado</x:v>
      </x:c>
      <x:c r="G433" s="23" t="str">
        <x:v>Actual</x:v>
      </x:c>
      <x:c r="H433" s="23" t="str">
        <x:v>EUR</x:v>
      </x:c>
    </x:row>
    <x:row r="434">
      <x:c r="A434" s="23" t="str">
        <x:v>2026-02</x:v>
      </x:c>
      <x:c r="B434" s="23" t="str">
        <x:v>2026-02-28</x:v>
      </x:c>
      <x:c r="C434" s="23" t="str">
        <x:v>6020</x:v>
      </x:c>
      <x:c r="D434" s="23" t="str">
        <x:v>IT y sistemas</x:v>
      </x:c>
      <x:c r="E434" s="24" t="n">
        <x:v>-68234</x:v>
      </x:c>
      <x:c r="F434" s="23" t="str">
        <x:v>ERP simulado</x:v>
      </x:c>
      <x:c r="G434" s="23" t="str">
        <x:v>Actual</x:v>
      </x:c>
      <x:c r="H434" s="23" t="str">
        <x:v>EUR</x:v>
      </x:c>
    </x:row>
    <x:row r="435">
      <x:c r="A435" s="23" t="str">
        <x:v>2026-02</x:v>
      </x:c>
      <x:c r="B435" s="23" t="str">
        <x:v>2026-02-28</x:v>
      </x:c>
      <x:c r="C435" s="23" t="str">
        <x:v>6030</x:v>
      </x:c>
      <x:c r="D435" s="23" t="str">
        <x:v>Alquileres e instalaciones</x:v>
      </x:c>
      <x:c r="E435" s="24" t="n">
        <x:v>-37219</x:v>
      </x:c>
      <x:c r="F435" s="23" t="str">
        <x:v>ERP simulado</x:v>
      </x:c>
      <x:c r="G435" s="23" t="str">
        <x:v>Actual</x:v>
      </x:c>
      <x:c r="H435" s="23" t="str">
        <x:v>EUR</x:v>
      </x:c>
    </x:row>
    <x:row r="436">
      <x:c r="A436" s="23" t="str">
        <x:v>2026-02</x:v>
      </x:c>
      <x:c r="B436" s="23" t="str">
        <x:v>2026-02-28</x:v>
      </x:c>
      <x:c r="C436" s="23" t="str">
        <x:v>6040</x:v>
      </x:c>
      <x:c r="D436" s="23" t="str">
        <x:v>Otros gastos operativos</x:v>
      </x:c>
      <x:c r="E436" s="24" t="n">
        <x:v>-74437</x:v>
      </x:c>
      <x:c r="F436" s="23" t="str">
        <x:v>ERP simulado</x:v>
      </x:c>
      <x:c r="G436" s="23" t="str">
        <x:v>Actual</x:v>
      </x:c>
      <x:c r="H436" s="23" t="str">
        <x:v>EUR</x:v>
      </x:c>
    </x:row>
    <x:row r="437">
      <x:c r="A437" s="23" t="str">
        <x:v>2026-02</x:v>
      </x:c>
      <x:c r="B437" s="23" t="str">
        <x:v>2026-02-28</x:v>
      </x:c>
      <x:c r="C437" s="23" t="str">
        <x:v>6100</x:v>
      </x:c>
      <x:c r="D437" s="23" t="str">
        <x:v>Depreciación</x:v>
      </x:c>
      <x:c r="E437" s="24" t="n">
        <x:v>-167500</x:v>
      </x:c>
      <x:c r="F437" s="23" t="str">
        <x:v>ERP simulado</x:v>
      </x:c>
      <x:c r="G437" s="23" t="str">
        <x:v>Actual</x:v>
      </x:c>
      <x:c r="H437" s="23" t="str">
        <x:v>EUR</x:v>
      </x:c>
    </x:row>
    <x:row r="438">
      <x:c r="A438" s="23" t="str">
        <x:v>2026-02</x:v>
      </x:c>
      <x:c r="B438" s="23" t="str">
        <x:v>2026-02-28</x:v>
      </x:c>
      <x:c r="C438" s="23" t="str">
        <x:v>6110</x:v>
      </x:c>
      <x:c r="D438" s="23" t="str">
        <x:v>Amortización</x:v>
      </x:c>
      <x:c r="E438" s="24" t="n">
        <x:v>-30750</x:v>
      </x:c>
      <x:c r="F438" s="23" t="str">
        <x:v>ERP simulado</x:v>
      </x:c>
      <x:c r="G438" s="23" t="str">
        <x:v>Actual</x:v>
      </x:c>
      <x:c r="H438" s="23" t="str">
        <x:v>EUR</x:v>
      </x:c>
    </x:row>
    <x:row r="439">
      <x:c r="A439" s="23" t="str">
        <x:v>2026-02</x:v>
      </x:c>
      <x:c r="B439" s="23" t="str">
        <x:v>2026-02-28</x:v>
      </x:c>
      <x:c r="C439" s="23" t="str">
        <x:v>6200</x:v>
      </x:c>
      <x:c r="D439" s="23" t="str">
        <x:v>Deterioros</x:v>
      </x:c>
      <x:c r="E439" s="24" t="n">
        <x:v>0</x:v>
      </x:c>
      <x:c r="F439" s="23" t="str">
        <x:v>ERP simulado</x:v>
      </x:c>
      <x:c r="G439" s="23" t="str">
        <x:v>Actual</x:v>
      </x:c>
      <x:c r="H439" s="23" t="str">
        <x:v>EUR</x:v>
      </x:c>
    </x:row>
    <x:row r="440">
      <x:c r="A440" s="23" t="str">
        <x:v>2026-02</x:v>
      </x:c>
      <x:c r="B440" s="23" t="str">
        <x:v>2026-02-28</x:v>
      </x:c>
      <x:c r="C440" s="23" t="str">
        <x:v>6300</x:v>
      </x:c>
      <x:c r="D440" s="23" t="str">
        <x:v>Resultado por venta de activos</x:v>
      </x:c>
      <x:c r="E440" s="24" t="n">
        <x:v>0</x:v>
      </x:c>
      <x:c r="F440" s="23" t="str">
        <x:v>ERP simulado</x:v>
      </x:c>
      <x:c r="G440" s="23" t="str">
        <x:v>Actual</x:v>
      </x:c>
      <x:c r="H440" s="23" t="str">
        <x:v>EUR</x:v>
      </x:c>
    </x:row>
    <x:row r="441">
      <x:c r="A441" s="23" t="str">
        <x:v>2026-02</x:v>
      </x:c>
      <x:c r="B441" s="23" t="str">
        <x:v>2026-02-28</x:v>
      </x:c>
      <x:c r="C441" s="23" t="str">
        <x:v>7000</x:v>
      </x:c>
      <x:c r="D441" s="23" t="str">
        <x:v>Gastos financieros</x:v>
      </x:c>
      <x:c r="E441" s="24" t="n">
        <x:v>-36450</x:v>
      </x:c>
      <x:c r="F441" s="23" t="str">
        <x:v>ERP simulado</x:v>
      </x:c>
      <x:c r="G441" s="23" t="str">
        <x:v>Actual</x:v>
      </x:c>
      <x:c r="H441" s="23" t="str">
        <x:v>EUR</x:v>
      </x:c>
    </x:row>
    <x:row r="442">
      <x:c r="A442" s="23" t="str">
        <x:v>2026-02</x:v>
      </x:c>
      <x:c r="B442" s="23" t="str">
        <x:v>2026-02-28</x:v>
      </x:c>
      <x:c r="C442" s="23" t="str">
        <x:v>7100</x:v>
      </x:c>
      <x:c r="D442" s="23" t="str">
        <x:v>Ingresos financieros</x:v>
      </x:c>
      <x:c r="E442" s="24" t="n">
        <x:v>5860</x:v>
      </x:c>
      <x:c r="F442" s="23" t="str">
        <x:v>ERP simulado</x:v>
      </x:c>
      <x:c r="G442" s="23" t="str">
        <x:v>Actual</x:v>
      </x:c>
      <x:c r="H442" s="23" t="str">
        <x:v>EUR</x:v>
      </x:c>
    </x:row>
    <x:row r="443">
      <x:c r="A443" s="23" t="str">
        <x:v>2026-02</x:v>
      </x:c>
      <x:c r="B443" s="23" t="str">
        <x:v>2026-02-28</x:v>
      </x:c>
      <x:c r="C443" s="23" t="str">
        <x:v>8000</x:v>
      </x:c>
      <x:c r="D443" s="23" t="str">
        <x:v>Impuesto sobre beneficios</x:v>
      </x:c>
      <x:c r="E443" s="24" t="n">
        <x:v>-72281</x:v>
      </x:c>
      <x:c r="F443" s="23" t="str">
        <x:v>ERP simulado</x:v>
      </x:c>
      <x:c r="G443" s="23" t="str">
        <x:v>Actual</x:v>
      </x:c>
      <x:c r="H443" s="23" t="str">
        <x:v>EUR</x:v>
      </x:c>
    </x:row>
    <x:row r="444">
      <x:c r="A444" s="23" t="str">
        <x:v>2026-03</x:v>
      </x:c>
      <x:c r="B444" s="23" t="str">
        <x:v>2026-03-31</x:v>
      </x:c>
      <x:c r="C444" s="23" t="str">
        <x:v>4000</x:v>
      </x:c>
      <x:c r="D444" s="23" t="str">
        <x:v>Ingresos por producto</x:v>
      </x:c>
      <x:c r="E444" s="24" t="n">
        <x:v>2493456</x:v>
      </x:c>
      <x:c r="F444" s="23" t="str">
        <x:v>ERP simulado</x:v>
      </x:c>
      <x:c r="G444" s="23" t="str">
        <x:v>Actual</x:v>
      </x:c>
      <x:c r="H444" s="23" t="str">
        <x:v>EUR</x:v>
      </x:c>
    </x:row>
    <x:row r="445">
      <x:c r="A445" s="23" t="str">
        <x:v>2026-03</x:v>
      </x:c>
      <x:c r="B445" s="23" t="str">
        <x:v>2026-03-31</x:v>
      </x:c>
      <x:c r="C445" s="23" t="str">
        <x:v>4010</x:v>
      </x:c>
      <x:c r="D445" s="23" t="str">
        <x:v>Ingresos por servicios</x:v>
      </x:c>
      <x:c r="E445" s="24" t="n">
        <x:v>976278</x:v>
      </x:c>
      <x:c r="F445" s="23" t="str">
        <x:v>ERP simulado</x:v>
      </x:c>
      <x:c r="G445" s="23" t="str">
        <x:v>Actual</x:v>
      </x:c>
      <x:c r="H445" s="23" t="str">
        <x:v>EUR</x:v>
      </x:c>
    </x:row>
    <x:row r="446">
      <x:c r="A446" s="23" t="str">
        <x:v>2026-03</x:v>
      </x:c>
      <x:c r="B446" s="23" t="str">
        <x:v>2026-03-31</x:v>
      </x:c>
      <x:c r="C446" s="23" t="str">
        <x:v>5000</x:v>
      </x:c>
      <x:c r="D446" s="23" t="str">
        <x:v>Materiales directos</x:v>
      </x:c>
      <x:c r="E446" s="24" t="n">
        <x:v>-1266453</x:v>
      </x:c>
      <x:c r="F446" s="23" t="str">
        <x:v>ERP simulado</x:v>
      </x:c>
      <x:c r="G446" s="23" t="str">
        <x:v>Actual</x:v>
      </x:c>
      <x:c r="H446" s="23" t="str">
        <x:v>EUR</x:v>
      </x:c>
    </x:row>
    <x:row r="447">
      <x:c r="A447" s="23" t="str">
        <x:v>2026-03</x:v>
      </x:c>
      <x:c r="B447" s="23" t="str">
        <x:v>2026-03-31</x:v>
      </x:c>
      <x:c r="C447" s="23" t="str">
        <x:v>5010</x:v>
      </x:c>
      <x:c r="D447" s="23" t="str">
        <x:v>Mano de obra directa</x:v>
      </x:c>
      <x:c r="E447" s="24" t="n">
        <x:v>-607203</x:v>
      </x:c>
      <x:c r="F447" s="23" t="str">
        <x:v>ERP simulado</x:v>
      </x:c>
      <x:c r="G447" s="23" t="str">
        <x:v>Actual</x:v>
      </x:c>
      <x:c r="H447" s="23" t="str">
        <x:v>EUR</x:v>
      </x:c>
    </x:row>
    <x:row r="448">
      <x:c r="A448" s="23" t="str">
        <x:v>2026-03</x:v>
      </x:c>
      <x:c r="B448" s="23" t="str">
        <x:v>2026-03-31</x:v>
      </x:c>
      <x:c r="C448" s="23" t="str">
        <x:v>5020</x:v>
      </x:c>
      <x:c r="D448" s="23" t="str">
        <x:v>Logística y subcontratación</x:v>
      </x:c>
      <x:c r="E448" s="24" t="n">
        <x:v>-215124</x:v>
      </x:c>
      <x:c r="F448" s="23" t="str">
        <x:v>ERP simulado</x:v>
      </x:c>
      <x:c r="G448" s="23" t="str">
        <x:v>Actual</x:v>
      </x:c>
      <x:c r="H448" s="23" t="str">
        <x:v>EUR</x:v>
      </x:c>
    </x:row>
    <x:row r="449">
      <x:c r="A449" s="23" t="str">
        <x:v>2026-03</x:v>
      </x:c>
      <x:c r="B449" s="23" t="str">
        <x:v>2026-03-31</x:v>
      </x:c>
      <x:c r="C449" s="23" t="str">
        <x:v>6000</x:v>
      </x:c>
      <x:c r="D449" s="23" t="str">
        <x:v>Gastos de personal</x:v>
      </x:c>
      <x:c r="E449" s="24" t="n">
        <x:v>-482131</x:v>
      </x:c>
      <x:c r="F449" s="23" t="str">
        <x:v>ERP simulado</x:v>
      </x:c>
      <x:c r="G449" s="23" t="str">
        <x:v>Actual</x:v>
      </x:c>
      <x:c r="H449" s="23" t="str">
        <x:v>EUR</x:v>
      </x:c>
    </x:row>
    <x:row r="450">
      <x:c r="A450" s="23" t="str">
        <x:v>2026-03</x:v>
      </x:c>
      <x:c r="B450" s="23" t="str">
        <x:v>2026-03-31</x:v>
      </x:c>
      <x:c r="C450" s="23" t="str">
        <x:v>6010</x:v>
      </x:c>
      <x:c r="D450" s="23" t="str">
        <x:v>Ventas y marketing</x:v>
      </x:c>
      <x:c r="E450" s="24" t="n">
        <x:v>-117971</x:v>
      </x:c>
      <x:c r="F450" s="23" t="str">
        <x:v>ERP simulado</x:v>
      </x:c>
      <x:c r="G450" s="23" t="str">
        <x:v>Actual</x:v>
      </x:c>
      <x:c r="H450" s="23" t="str">
        <x:v>EUR</x:v>
      </x:c>
    </x:row>
    <x:row r="451">
      <x:c r="A451" s="23" t="str">
        <x:v>2026-03</x:v>
      </x:c>
      <x:c r="B451" s="23" t="str">
        <x:v>2026-03-31</x:v>
      </x:c>
      <x:c r="C451" s="23" t="str">
        <x:v>6020</x:v>
      </x:c>
      <x:c r="D451" s="23" t="str">
        <x:v>IT y sistemas</x:v>
      </x:c>
      <x:c r="E451" s="24" t="n">
        <x:v>-76334</x:v>
      </x:c>
      <x:c r="F451" s="23" t="str">
        <x:v>ERP simulado</x:v>
      </x:c>
      <x:c r="G451" s="23" t="str">
        <x:v>Actual</x:v>
      </x:c>
      <x:c r="H451" s="23" t="str">
        <x:v>EUR</x:v>
      </x:c>
    </x:row>
    <x:row r="452">
      <x:c r="A452" s="23" t="str">
        <x:v>2026-03</x:v>
      </x:c>
      <x:c r="B452" s="23" t="str">
        <x:v>2026-03-31</x:v>
      </x:c>
      <x:c r="C452" s="23" t="str">
        <x:v>6030</x:v>
      </x:c>
      <x:c r="D452" s="23" t="str">
        <x:v>Alquileres e instalaciones</x:v>
      </x:c>
      <x:c r="E452" s="24" t="n">
        <x:v>-41637</x:v>
      </x:c>
      <x:c r="F452" s="23" t="str">
        <x:v>ERP simulado</x:v>
      </x:c>
      <x:c r="G452" s="23" t="str">
        <x:v>Actual</x:v>
      </x:c>
      <x:c r="H452" s="23" t="str">
        <x:v>EUR</x:v>
      </x:c>
    </x:row>
    <x:row r="453">
      <x:c r="A453" s="23" t="str">
        <x:v>2026-03</x:v>
      </x:c>
      <x:c r="B453" s="23" t="str">
        <x:v>2026-03-31</x:v>
      </x:c>
      <x:c r="C453" s="23" t="str">
        <x:v>6040</x:v>
      </x:c>
      <x:c r="D453" s="23" t="str">
        <x:v>Otros gastos operativos</x:v>
      </x:c>
      <x:c r="E453" s="24" t="n">
        <x:v>-83274</x:v>
      </x:c>
      <x:c r="F453" s="23" t="str">
        <x:v>ERP simulado</x:v>
      </x:c>
      <x:c r="G453" s="23" t="str">
        <x:v>Actual</x:v>
      </x:c>
      <x:c r="H453" s="23" t="str">
        <x:v>EUR</x:v>
      </x:c>
    </x:row>
    <x:row r="454">
      <x:c r="A454" s="23" t="str">
        <x:v>2026-03</x:v>
      </x:c>
      <x:c r="B454" s="23" t="str">
        <x:v>2026-03-31</x:v>
      </x:c>
      <x:c r="C454" s="23" t="str">
        <x:v>6100</x:v>
      </x:c>
      <x:c r="D454" s="23" t="str">
        <x:v>Depreciación</x:v>
      </x:c>
      <x:c r="E454" s="24" t="n">
        <x:v>-170000</x:v>
      </x:c>
      <x:c r="F454" s="23" t="str">
        <x:v>ERP simulado</x:v>
      </x:c>
      <x:c r="G454" s="23" t="str">
        <x:v>Actual</x:v>
      </x:c>
      <x:c r="H454" s="23" t="str">
        <x:v>EUR</x:v>
      </x:c>
    </x:row>
    <x:row r="455">
      <x:c r="A455" s="23" t="str">
        <x:v>2026-03</x:v>
      </x:c>
      <x:c r="B455" s="23" t="str">
        <x:v>2026-03-31</x:v>
      </x:c>
      <x:c r="C455" s="23" t="str">
        <x:v>6110</x:v>
      </x:c>
      <x:c r="D455" s="23" t="str">
        <x:v>Amortización</x:v>
      </x:c>
      <x:c r="E455" s="24" t="n">
        <x:v>-31100</x:v>
      </x:c>
      <x:c r="F455" s="23" t="str">
        <x:v>ERP simulado</x:v>
      </x:c>
      <x:c r="G455" s="23" t="str">
        <x:v>Actual</x:v>
      </x:c>
      <x:c r="H455" s="23" t="str">
        <x:v>EUR</x:v>
      </x:c>
    </x:row>
    <x:row r="456">
      <x:c r="A456" s="23" t="str">
        <x:v>2026-03</x:v>
      </x:c>
      <x:c r="B456" s="23" t="str">
        <x:v>2026-03-31</x:v>
      </x:c>
      <x:c r="C456" s="23" t="str">
        <x:v>6200</x:v>
      </x:c>
      <x:c r="D456" s="23" t="str">
        <x:v>Deterioros</x:v>
      </x:c>
      <x:c r="E456" s="24" t="n">
        <x:v>0</x:v>
      </x:c>
      <x:c r="F456" s="23" t="str">
        <x:v>ERP simulado</x:v>
      </x:c>
      <x:c r="G456" s="23" t="str">
        <x:v>Actual</x:v>
      </x:c>
      <x:c r="H456" s="23" t="str">
        <x:v>EUR</x:v>
      </x:c>
    </x:row>
    <x:row r="457">
      <x:c r="A457" s="23" t="str">
        <x:v>2026-03</x:v>
      </x:c>
      <x:c r="B457" s="23" t="str">
        <x:v>2026-03-31</x:v>
      </x:c>
      <x:c r="C457" s="23" t="str">
        <x:v>6300</x:v>
      </x:c>
      <x:c r="D457" s="23" t="str">
        <x:v>Resultado por venta de activos</x:v>
      </x:c>
      <x:c r="E457" s="24" t="n">
        <x:v>0</x:v>
      </x:c>
      <x:c r="F457" s="23" t="str">
        <x:v>ERP simulado</x:v>
      </x:c>
      <x:c r="G457" s="23" t="str">
        <x:v>Actual</x:v>
      </x:c>
      <x:c r="H457" s="23" t="str">
        <x:v>EUR</x:v>
      </x:c>
    </x:row>
    <x:row r="458">
      <x:c r="A458" s="23" t="str">
        <x:v>2026-03</x:v>
      </x:c>
      <x:c r="B458" s="23" t="str">
        <x:v>2026-03-31</x:v>
      </x:c>
      <x:c r="C458" s="23" t="str">
        <x:v>7000</x:v>
      </x:c>
      <x:c r="D458" s="23" t="str">
        <x:v>Gastos financieros</x:v>
      </x:c>
      <x:c r="E458" s="24" t="n">
        <x:v>-36450</x:v>
      </x:c>
      <x:c r="F458" s="23" t="str">
        <x:v>ERP simulado</x:v>
      </x:c>
      <x:c r="G458" s="23" t="str">
        <x:v>Actual</x:v>
      </x:c>
      <x:c r="H458" s="23" t="str">
        <x:v>EUR</x:v>
      </x:c>
    </x:row>
    <x:row r="459">
      <x:c r="A459" s="23" t="str">
        <x:v>2026-03</x:v>
      </x:c>
      <x:c r="B459" s="23" t="str">
        <x:v>2026-03-31</x:v>
      </x:c>
      <x:c r="C459" s="23" t="str">
        <x:v>7100</x:v>
      </x:c>
      <x:c r="D459" s="23" t="str">
        <x:v>Ingresos financieros</x:v>
      </x:c>
      <x:c r="E459" s="24" t="n">
        <x:v>5303</x:v>
      </x:c>
      <x:c r="F459" s="23" t="str">
        <x:v>ERP simulado</x:v>
      </x:c>
      <x:c r="G459" s="23" t="str">
        <x:v>Actual</x:v>
      </x:c>
      <x:c r="H459" s="23" t="str">
        <x:v>EUR</x:v>
      </x:c>
    </x:row>
    <x:row r="460">
      <x:c r="A460" s="23" t="str">
        <x:v>2026-03</x:v>
      </x:c>
      <x:c r="B460" s="23" t="str">
        <x:v>2026-03-31</x:v>
      </x:c>
      <x:c r="C460" s="23" t="str">
        <x:v>8000</x:v>
      </x:c>
      <x:c r="D460" s="23" t="str">
        <x:v>Impuesto sobre beneficios</x:v>
      </x:c>
      <x:c r="E460" s="24" t="n">
        <x:v>-86840</x:v>
      </x:c>
      <x:c r="F460" s="23" t="str">
        <x:v>ERP simulado</x:v>
      </x:c>
      <x:c r="G460" s="23" t="str">
        <x:v>Actual</x:v>
      </x:c>
      <x:c r="H460" s="23" t="str">
        <x:v>EUR</x:v>
      </x:c>
    </x:row>
    <x:row r="461">
      <x:c r="A461" s="23" t="str">
        <x:v>2026-04</x:v>
      </x:c>
      <x:c r="B461" s="23" t="str">
        <x:v>2026-04-30</x:v>
      </x:c>
      <x:c r="C461" s="23" t="str">
        <x:v>4000</x:v>
      </x:c>
      <x:c r="D461" s="23" t="str">
        <x:v>Ingresos por producto</x:v>
      </x:c>
      <x:c r="E461" s="24" t="n">
        <x:v>2473232</x:v>
      </x:c>
      <x:c r="F461" s="23" t="str">
        <x:v>ERP simulado</x:v>
      </x:c>
      <x:c r="G461" s="23" t="str">
        <x:v>Actual</x:v>
      </x:c>
      <x:c r="H461" s="23" t="str">
        <x:v>EUR</x:v>
      </x:c>
    </x:row>
    <x:row r="462">
      <x:c r="A462" s="23" t="str">
        <x:v>2026-04</x:v>
      </x:c>
      <x:c r="B462" s="23" t="str">
        <x:v>2026-04-30</x:v>
      </x:c>
      <x:c r="C462" s="23" t="str">
        <x:v>4010</x:v>
      </x:c>
      <x:c r="D462" s="23" t="str">
        <x:v>Ingresos por servicios</x:v>
      </x:c>
      <x:c r="E462" s="24" t="n">
        <x:v>944756</x:v>
      </x:c>
      <x:c r="F462" s="23" t="str">
        <x:v>ERP simulado</x:v>
      </x:c>
      <x:c r="G462" s="23" t="str">
        <x:v>Actual</x:v>
      </x:c>
      <x:c r="H462" s="23" t="str">
        <x:v>EUR</x:v>
      </x:c>
    </x:row>
    <x:row r="463">
      <x:c r="A463" s="23" t="str">
        <x:v>2026-04</x:v>
      </x:c>
      <x:c r="B463" s="23" t="str">
        <x:v>2026-04-30</x:v>
      </x:c>
      <x:c r="C463" s="23" t="str">
        <x:v>5000</x:v>
      </x:c>
      <x:c r="D463" s="23" t="str">
        <x:v>Materiales directos</x:v>
      </x:c>
      <x:c r="E463" s="24" t="n">
        <x:v>-1206550</x:v>
      </x:c>
      <x:c r="F463" s="23" t="str">
        <x:v>ERP simulado</x:v>
      </x:c>
      <x:c r="G463" s="23" t="str">
        <x:v>Actual</x:v>
      </x:c>
      <x:c r="H463" s="23" t="str">
        <x:v>EUR</x:v>
      </x:c>
    </x:row>
    <x:row r="464">
      <x:c r="A464" s="23" t="str">
        <x:v>2026-04</x:v>
      </x:c>
      <x:c r="B464" s="23" t="str">
        <x:v>2026-04-30</x:v>
      </x:c>
      <x:c r="C464" s="23" t="str">
        <x:v>5010</x:v>
      </x:c>
      <x:c r="D464" s="23" t="str">
        <x:v>Mano de obra directa</x:v>
      </x:c>
      <x:c r="E464" s="24" t="n">
        <x:v>-598148</x:v>
      </x:c>
      <x:c r="F464" s="23" t="str">
        <x:v>ERP simulado</x:v>
      </x:c>
      <x:c r="G464" s="23" t="str">
        <x:v>Actual</x:v>
      </x:c>
      <x:c r="H464" s="23" t="str">
        <x:v>EUR</x:v>
      </x:c>
    </x:row>
    <x:row r="465">
      <x:c r="A465" s="23" t="str">
        <x:v>2026-04</x:v>
      </x:c>
      <x:c r="B465" s="23" t="str">
        <x:v>2026-04-30</x:v>
      </x:c>
      <x:c r="C465" s="23" t="str">
        <x:v>5020</x:v>
      </x:c>
      <x:c r="D465" s="23" t="str">
        <x:v>Logística y subcontratación</x:v>
      </x:c>
      <x:c r="E465" s="24" t="n">
        <x:v>-211915</x:v>
      </x:c>
      <x:c r="F465" s="23" t="str">
        <x:v>ERP simulado</x:v>
      </x:c>
      <x:c r="G465" s="23" t="str">
        <x:v>Actual</x:v>
      </x:c>
      <x:c r="H465" s="23" t="str">
        <x:v>EUR</x:v>
      </x:c>
    </x:row>
    <x:row r="466">
      <x:c r="A466" s="23" t="str">
        <x:v>2026-04</x:v>
      </x:c>
      <x:c r="B466" s="23" t="str">
        <x:v>2026-04-30</x:v>
      </x:c>
      <x:c r="C466" s="23" t="str">
        <x:v>6000</x:v>
      </x:c>
      <x:c r="D466" s="23" t="str">
        <x:v>Gastos de personal</x:v>
      </x:c>
      <x:c r="E466" s="24" t="n">
        <x:v>-474369</x:v>
      </x:c>
      <x:c r="F466" s="23" t="str">
        <x:v>ERP simulado</x:v>
      </x:c>
      <x:c r="G466" s="23" t="str">
        <x:v>Actual</x:v>
      </x:c>
      <x:c r="H466" s="23" t="str">
        <x:v>EUR</x:v>
      </x:c>
    </x:row>
    <x:row r="467">
      <x:c r="A467" s="23" t="str">
        <x:v>2026-04</x:v>
      </x:c>
      <x:c r="B467" s="23" t="str">
        <x:v>2026-04-30</x:v>
      </x:c>
      <x:c r="C467" s="23" t="str">
        <x:v>6010</x:v>
      </x:c>
      <x:c r="D467" s="23" t="str">
        <x:v>Ventas y marketing</x:v>
      </x:c>
      <x:c r="E467" s="24" t="n">
        <x:v>-116212</x:v>
      </x:c>
      <x:c r="F467" s="23" t="str">
        <x:v>ERP simulado</x:v>
      </x:c>
      <x:c r="G467" s="23" t="str">
        <x:v>Actual</x:v>
      </x:c>
      <x:c r="H467" s="23" t="str">
        <x:v>EUR</x:v>
      </x:c>
    </x:row>
    <x:row r="468">
      <x:c r="A468" s="23" t="str">
        <x:v>2026-04</x:v>
      </x:c>
      <x:c r="B468" s="23" t="str">
        <x:v>2026-04-30</x:v>
      </x:c>
      <x:c r="C468" s="23" t="str">
        <x:v>6020</x:v>
      </x:c>
      <x:c r="D468" s="23" t="str">
        <x:v>IT y sistemas</x:v>
      </x:c>
      <x:c r="E468" s="24" t="n">
        <x:v>-75196</x:v>
      </x:c>
      <x:c r="F468" s="23" t="str">
        <x:v>ERP simulado</x:v>
      </x:c>
      <x:c r="G468" s="23" t="str">
        <x:v>Actual</x:v>
      </x:c>
      <x:c r="H468" s="23" t="str">
        <x:v>EUR</x:v>
      </x:c>
    </x:row>
    <x:row r="469">
      <x:c r="A469" s="23" t="str">
        <x:v>2026-04</x:v>
      </x:c>
      <x:c r="B469" s="23" t="str">
        <x:v>2026-04-30</x:v>
      </x:c>
      <x:c r="C469" s="23" t="str">
        <x:v>6030</x:v>
      </x:c>
      <x:c r="D469" s="23" t="str">
        <x:v>Alquileres e instalaciones</x:v>
      </x:c>
      <x:c r="E469" s="24" t="n">
        <x:v>-41016</x:v>
      </x:c>
      <x:c r="F469" s="23" t="str">
        <x:v>ERP simulado</x:v>
      </x:c>
      <x:c r="G469" s="23" t="str">
        <x:v>Actual</x:v>
      </x:c>
      <x:c r="H469" s="23" t="str">
        <x:v>EUR</x:v>
      </x:c>
    </x:row>
    <x:row r="470">
      <x:c r="A470" s="23" t="str">
        <x:v>2026-04</x:v>
      </x:c>
      <x:c r="B470" s="23" t="str">
        <x:v>2026-04-30</x:v>
      </x:c>
      <x:c r="C470" s="23" t="str">
        <x:v>6040</x:v>
      </x:c>
      <x:c r="D470" s="23" t="str">
        <x:v>Otros gastos operativos</x:v>
      </x:c>
      <x:c r="E470" s="24" t="n">
        <x:v>-82032</x:v>
      </x:c>
      <x:c r="F470" s="23" t="str">
        <x:v>ERP simulado</x:v>
      </x:c>
      <x:c r="G470" s="23" t="str">
        <x:v>Actual</x:v>
      </x:c>
      <x:c r="H470" s="23" t="str">
        <x:v>EUR</x:v>
      </x:c>
    </x:row>
    <x:row r="471">
      <x:c r="A471" s="23" t="str">
        <x:v>2026-04</x:v>
      </x:c>
      <x:c r="B471" s="23" t="str">
        <x:v>2026-04-30</x:v>
      </x:c>
      <x:c r="C471" s="23" t="str">
        <x:v>6100</x:v>
      </x:c>
      <x:c r="D471" s="23" t="str">
        <x:v>Depreciación</x:v>
      </x:c>
      <x:c r="E471" s="24" t="n">
        <x:v>-172500</x:v>
      </x:c>
      <x:c r="F471" s="23" t="str">
        <x:v>ERP simulado</x:v>
      </x:c>
      <x:c r="G471" s="23" t="str">
        <x:v>Actual</x:v>
      </x:c>
      <x:c r="H471" s="23" t="str">
        <x:v>EUR</x:v>
      </x:c>
    </x:row>
    <x:row r="472">
      <x:c r="A472" s="23" t="str">
        <x:v>2026-04</x:v>
      </x:c>
      <x:c r="B472" s="23" t="str">
        <x:v>2026-04-30</x:v>
      </x:c>
      <x:c r="C472" s="23" t="str">
        <x:v>6110</x:v>
      </x:c>
      <x:c r="D472" s="23" t="str">
        <x:v>Amortización</x:v>
      </x:c>
      <x:c r="E472" s="24" t="n">
        <x:v>-31450</x:v>
      </x:c>
      <x:c r="F472" s="23" t="str">
        <x:v>ERP simulado</x:v>
      </x:c>
      <x:c r="G472" s="23" t="str">
        <x:v>Actual</x:v>
      </x:c>
      <x:c r="H472" s="23" t="str">
        <x:v>EUR</x:v>
      </x:c>
    </x:row>
    <x:row r="473">
      <x:c r="A473" s="23" t="str">
        <x:v>2026-04</x:v>
      </x:c>
      <x:c r="B473" s="23" t="str">
        <x:v>2026-04-30</x:v>
      </x:c>
      <x:c r="C473" s="23" t="str">
        <x:v>6200</x:v>
      </x:c>
      <x:c r="D473" s="23" t="str">
        <x:v>Deterioros</x:v>
      </x:c>
      <x:c r="E473" s="24" t="n">
        <x:v>0</x:v>
      </x:c>
      <x:c r="F473" s="23" t="str">
        <x:v>ERP simulado</x:v>
      </x:c>
      <x:c r="G473" s="23" t="str">
        <x:v>Actual</x:v>
      </x:c>
      <x:c r="H473" s="23" t="str">
        <x:v>EUR</x:v>
      </x:c>
    </x:row>
    <x:row r="474">
      <x:c r="A474" s="23" t="str">
        <x:v>2026-04</x:v>
      </x:c>
      <x:c r="B474" s="23" t="str">
        <x:v>2026-04-30</x:v>
      </x:c>
      <x:c r="C474" s="23" t="str">
        <x:v>6300</x:v>
      </x:c>
      <x:c r="D474" s="23" t="str">
        <x:v>Resultado por venta de activos</x:v>
      </x:c>
      <x:c r="E474" s="24" t="n">
        <x:v>0</x:v>
      </x:c>
      <x:c r="F474" s="23" t="str">
        <x:v>ERP simulado</x:v>
      </x:c>
      <x:c r="G474" s="23" t="str">
        <x:v>Actual</x:v>
      </x:c>
      <x:c r="H474" s="23" t="str">
        <x:v>EUR</x:v>
      </x:c>
    </x:row>
    <x:row r="475">
      <x:c r="A475" s="23" t="str">
        <x:v>2026-04</x:v>
      </x:c>
      <x:c r="B475" s="23" t="str">
        <x:v>2026-04-30</x:v>
      </x:c>
      <x:c r="C475" s="23" t="str">
        <x:v>7000</x:v>
      </x:c>
      <x:c r="D475" s="23" t="str">
        <x:v>Gastos financieros</x:v>
      </x:c>
      <x:c r="E475" s="24" t="n">
        <x:v>-36000</x:v>
      </x:c>
      <x:c r="F475" s="23" t="str">
        <x:v>ERP simulado</x:v>
      </x:c>
      <x:c r="G475" s="23" t="str">
        <x:v>Actual</x:v>
      </x:c>
      <x:c r="H475" s="23" t="str">
        <x:v>EUR</x:v>
      </x:c>
    </x:row>
    <x:row r="476">
      <x:c r="A476" s="23" t="str">
        <x:v>2026-04</x:v>
      </x:c>
      <x:c r="B476" s="23" t="str">
        <x:v>2026-04-30</x:v>
      </x:c>
      <x:c r="C476" s="23" t="str">
        <x:v>7100</x:v>
      </x:c>
      <x:c r="D476" s="23" t="str">
        <x:v>Ingresos financieros</x:v>
      </x:c>
      <x:c r="E476" s="24" t="n">
        <x:v>6086</x:v>
      </x:c>
      <x:c r="F476" s="23" t="str">
        <x:v>ERP simulado</x:v>
      </x:c>
      <x:c r="G476" s="23" t="str">
        <x:v>Actual</x:v>
      </x:c>
      <x:c r="H476" s="23" t="str">
        <x:v>EUR</x:v>
      </x:c>
    </x:row>
    <x:row r="477">
      <x:c r="A477" s="23" t="str">
        <x:v>2026-04</x:v>
      </x:c>
      <x:c r="B477" s="23" t="str">
        <x:v>2026-04-30</x:v>
      </x:c>
      <x:c r="C477" s="23" t="str">
        <x:v>8000</x:v>
      </x:c>
      <x:c r="D477" s="23" t="str">
        <x:v>Impuesto sobre beneficios</x:v>
      </x:c>
      <x:c r="E477" s="24" t="n">
        <x:v>-94672</x:v>
      </x:c>
      <x:c r="F477" s="23" t="str">
        <x:v>ERP simulado</x:v>
      </x:c>
      <x:c r="G477" s="23" t="str">
        <x:v>Actual</x:v>
      </x:c>
      <x:c r="H477" s="23" t="str">
        <x:v>EUR</x:v>
      </x:c>
    </x:row>
    <x:row r="478">
      <x:c r="A478" s="23" t="str">
        <x:v>2026-05</x:v>
      </x:c>
      <x:c r="B478" s="23" t="str">
        <x:v>2026-05-31</x:v>
      </x:c>
      <x:c r="C478" s="23" t="str">
        <x:v>4000</x:v>
      </x:c>
      <x:c r="D478" s="23" t="str">
        <x:v>Ingresos por producto</x:v>
      </x:c>
      <x:c r="E478" s="24" t="n">
        <x:v>2603804</x:v>
      </x:c>
      <x:c r="F478" s="23" t="str">
        <x:v>ERP simulado</x:v>
      </x:c>
      <x:c r="G478" s="23" t="str">
        <x:v>Actual</x:v>
      </x:c>
      <x:c r="H478" s="23" t="str">
        <x:v>EUR</x:v>
      </x:c>
    </x:row>
    <x:row r="479">
      <x:c r="A479" s="23" t="str">
        <x:v>2026-05</x:v>
      </x:c>
      <x:c r="B479" s="23" t="str">
        <x:v>2026-05-31</x:v>
      </x:c>
      <x:c r="C479" s="23" t="str">
        <x:v>4010</x:v>
      </x:c>
      <x:c r="D479" s="23" t="str">
        <x:v>Ingresos por servicios</x:v>
      </x:c>
      <x:c r="E479" s="24" t="n">
        <x:v>972063</x:v>
      </x:c>
      <x:c r="F479" s="23" t="str">
        <x:v>ERP simulado</x:v>
      </x:c>
      <x:c r="G479" s="23" t="str">
        <x:v>Actual</x:v>
      </x:c>
      <x:c r="H479" s="23" t="str">
        <x:v>EUR</x:v>
      </x:c>
    </x:row>
    <x:row r="480">
      <x:c r="A480" s="23" t="str">
        <x:v>2026-05</x:v>
      </x:c>
      <x:c r="B480" s="23" t="str">
        <x:v>2026-05-31</x:v>
      </x:c>
      <x:c r="C480" s="23" t="str">
        <x:v>5000</x:v>
      </x:c>
      <x:c r="D480" s="23" t="str">
        <x:v>Materiales directos</x:v>
      </x:c>
      <x:c r="E480" s="24" t="n">
        <x:v>-1262281</x:v>
      </x:c>
      <x:c r="F480" s="23" t="str">
        <x:v>ERP simulado</x:v>
      </x:c>
      <x:c r="G480" s="23" t="str">
        <x:v>Actual</x:v>
      </x:c>
      <x:c r="H480" s="23" t="str">
        <x:v>EUR</x:v>
      </x:c>
    </x:row>
    <x:row r="481">
      <x:c r="A481" s="23" t="str">
        <x:v>2026-05</x:v>
      </x:c>
      <x:c r="B481" s="23" t="str">
        <x:v>2026-05-31</x:v>
      </x:c>
      <x:c r="C481" s="23" t="str">
        <x:v>5010</x:v>
      </x:c>
      <x:c r="D481" s="23" t="str">
        <x:v>Mano de obra directa</x:v>
      </x:c>
      <x:c r="E481" s="24" t="n">
        <x:v>-625777</x:v>
      </x:c>
      <x:c r="F481" s="23" t="str">
        <x:v>ERP simulado</x:v>
      </x:c>
      <x:c r="G481" s="23" t="str">
        <x:v>Actual</x:v>
      </x:c>
      <x:c r="H481" s="23" t="str">
        <x:v>EUR</x:v>
      </x:c>
    </x:row>
    <x:row r="482">
      <x:c r="A482" s="23" t="str">
        <x:v>2026-05</x:v>
      </x:c>
      <x:c r="B482" s="23" t="str">
        <x:v>2026-05-31</x:v>
      </x:c>
      <x:c r="C482" s="23" t="str">
        <x:v>5020</x:v>
      </x:c>
      <x:c r="D482" s="23" t="str">
        <x:v>Logística y subcontratación</x:v>
      </x:c>
      <x:c r="E482" s="24" t="n">
        <x:v>-221704</x:v>
      </x:c>
      <x:c r="F482" s="23" t="str">
        <x:v>ERP simulado</x:v>
      </x:c>
      <x:c r="G482" s="23" t="str">
        <x:v>Actual</x:v>
      </x:c>
      <x:c r="H482" s="23" t="str">
        <x:v>EUR</x:v>
      </x:c>
    </x:row>
    <x:row r="483">
      <x:c r="A483" s="23" t="str">
        <x:v>2026-05</x:v>
      </x:c>
      <x:c r="B483" s="23" t="str">
        <x:v>2026-05-31</x:v>
      </x:c>
      <x:c r="C483" s="23" t="str">
        <x:v>6000</x:v>
      </x:c>
      <x:c r="D483" s="23" t="str">
        <x:v>Gastos de personal</x:v>
      </x:c>
      <x:c r="E483" s="24" t="n">
        <x:v>-495285</x:v>
      </x:c>
      <x:c r="F483" s="23" t="str">
        <x:v>ERP simulado</x:v>
      </x:c>
      <x:c r="G483" s="23" t="str">
        <x:v>Actual</x:v>
      </x:c>
      <x:c r="H483" s="23" t="str">
        <x:v>EUR</x:v>
      </x:c>
    </x:row>
    <x:row r="484">
      <x:c r="A484" s="23" t="str">
        <x:v>2026-05</x:v>
      </x:c>
      <x:c r="B484" s="23" t="str">
        <x:v>2026-05-31</x:v>
      </x:c>
      <x:c r="C484" s="23" t="str">
        <x:v>6010</x:v>
      </x:c>
      <x:c r="D484" s="23" t="str">
        <x:v>Ventas y marketing</x:v>
      </x:c>
      <x:c r="E484" s="24" t="n">
        <x:v>-121579</x:v>
      </x:c>
      <x:c r="F484" s="23" t="str">
        <x:v>ERP simulado</x:v>
      </x:c>
      <x:c r="G484" s="23" t="str">
        <x:v>Actual</x:v>
      </x:c>
      <x:c r="H484" s="23" t="str">
        <x:v>EUR</x:v>
      </x:c>
    </x:row>
    <x:row r="485">
      <x:c r="A485" s="23" t="str">
        <x:v>2026-05</x:v>
      </x:c>
      <x:c r="B485" s="23" t="str">
        <x:v>2026-05-31</x:v>
      </x:c>
      <x:c r="C485" s="23" t="str">
        <x:v>6020</x:v>
      </x:c>
      <x:c r="D485" s="23" t="str">
        <x:v>IT y sistemas</x:v>
      </x:c>
      <x:c r="E485" s="24" t="n">
        <x:v>-78669</x:v>
      </x:c>
      <x:c r="F485" s="23" t="str">
        <x:v>ERP simulado</x:v>
      </x:c>
      <x:c r="G485" s="23" t="str">
        <x:v>Actual</x:v>
      </x:c>
      <x:c r="H485" s="23" t="str">
        <x:v>EUR</x:v>
      </x:c>
    </x:row>
    <x:row r="486">
      <x:c r="A486" s="23" t="str">
        <x:v>2026-05</x:v>
      </x:c>
      <x:c r="B486" s="23" t="str">
        <x:v>2026-05-31</x:v>
      </x:c>
      <x:c r="C486" s="23" t="str">
        <x:v>6030</x:v>
      </x:c>
      <x:c r="D486" s="23" t="str">
        <x:v>Alquileres e instalaciones</x:v>
      </x:c>
      <x:c r="E486" s="24" t="n">
        <x:v>-42910</x:v>
      </x:c>
      <x:c r="F486" s="23" t="str">
        <x:v>ERP simulado</x:v>
      </x:c>
      <x:c r="G486" s="23" t="str">
        <x:v>Actual</x:v>
      </x:c>
      <x:c r="H486" s="23" t="str">
        <x:v>EUR</x:v>
      </x:c>
    </x:row>
    <x:row r="487">
      <x:c r="A487" s="23" t="str">
        <x:v>2026-05</x:v>
      </x:c>
      <x:c r="B487" s="23" t="str">
        <x:v>2026-05-31</x:v>
      </x:c>
      <x:c r="C487" s="23" t="str">
        <x:v>6040</x:v>
      </x:c>
      <x:c r="D487" s="23" t="str">
        <x:v>Otros gastos operativos</x:v>
      </x:c>
      <x:c r="E487" s="24" t="n">
        <x:v>-85821</x:v>
      </x:c>
      <x:c r="F487" s="23" t="str">
        <x:v>ERP simulado</x:v>
      </x:c>
      <x:c r="G487" s="23" t="str">
        <x:v>Actual</x:v>
      </x:c>
      <x:c r="H487" s="23" t="str">
        <x:v>EUR</x:v>
      </x:c>
    </x:row>
    <x:row r="488">
      <x:c r="A488" s="23" t="str">
        <x:v>2026-05</x:v>
      </x:c>
      <x:c r="B488" s="23" t="str">
        <x:v>2026-05-31</x:v>
      </x:c>
      <x:c r="C488" s="23" t="str">
        <x:v>6100</x:v>
      </x:c>
      <x:c r="D488" s="23" t="str">
        <x:v>Depreciación</x:v>
      </x:c>
      <x:c r="E488" s="24" t="n">
        <x:v>-175000</x:v>
      </x:c>
      <x:c r="F488" s="23" t="str">
        <x:v>ERP simulado</x:v>
      </x:c>
      <x:c r="G488" s="23" t="str">
        <x:v>Actual</x:v>
      </x:c>
      <x:c r="H488" s="23" t="str">
        <x:v>EUR</x:v>
      </x:c>
    </x:row>
    <x:row r="489">
      <x:c r="A489" s="23" t="str">
        <x:v>2026-05</x:v>
      </x:c>
      <x:c r="B489" s="23" t="str">
        <x:v>2026-05-31</x:v>
      </x:c>
      <x:c r="C489" s="23" t="str">
        <x:v>6110</x:v>
      </x:c>
      <x:c r="D489" s="23" t="str">
        <x:v>Amortización</x:v>
      </x:c>
      <x:c r="E489" s="24" t="n">
        <x:v>-31800</x:v>
      </x:c>
      <x:c r="F489" s="23" t="str">
        <x:v>ERP simulado</x:v>
      </x:c>
      <x:c r="G489" s="23" t="str">
        <x:v>Actual</x:v>
      </x:c>
      <x:c r="H489" s="23" t="str">
        <x:v>EUR</x:v>
      </x:c>
    </x:row>
    <x:row r="490">
      <x:c r="A490" s="23" t="str">
        <x:v>2026-05</x:v>
      </x:c>
      <x:c r="B490" s="23" t="str">
        <x:v>2026-05-31</x:v>
      </x:c>
      <x:c r="C490" s="23" t="str">
        <x:v>6200</x:v>
      </x:c>
      <x:c r="D490" s="23" t="str">
        <x:v>Deterioros</x:v>
      </x:c>
      <x:c r="E490" s="24" t="n">
        <x:v>0</x:v>
      </x:c>
      <x:c r="F490" s="23" t="str">
        <x:v>ERP simulado</x:v>
      </x:c>
      <x:c r="G490" s="23" t="str">
        <x:v>Actual</x:v>
      </x:c>
      <x:c r="H490" s="23" t="str">
        <x:v>EUR</x:v>
      </x:c>
    </x:row>
    <x:row r="491">
      <x:c r="A491" s="23" t="str">
        <x:v>2026-05</x:v>
      </x:c>
      <x:c r="B491" s="23" t="str">
        <x:v>2026-05-31</x:v>
      </x:c>
      <x:c r="C491" s="23" t="str">
        <x:v>6300</x:v>
      </x:c>
      <x:c r="D491" s="23" t="str">
        <x:v>Resultado por venta de activos</x:v>
      </x:c>
      <x:c r="E491" s="24" t="n">
        <x:v>0</x:v>
      </x:c>
      <x:c r="F491" s="23" t="str">
        <x:v>ERP simulado</x:v>
      </x:c>
      <x:c r="G491" s="23" t="str">
        <x:v>Actual</x:v>
      </x:c>
      <x:c r="H491" s="23" t="str">
        <x:v>EUR</x:v>
      </x:c>
    </x:row>
    <x:row r="492">
      <x:c r="A492" s="23" t="str">
        <x:v>2026-05</x:v>
      </x:c>
      <x:c r="B492" s="23" t="str">
        <x:v>2026-05-31</x:v>
      </x:c>
      <x:c r="C492" s="23" t="str">
        <x:v>7000</x:v>
      </x:c>
      <x:c r="D492" s="23" t="str">
        <x:v>Gastos financieros</x:v>
      </x:c>
      <x:c r="E492" s="24" t="n">
        <x:v>-36000</x:v>
      </x:c>
      <x:c r="F492" s="23" t="str">
        <x:v>ERP simulado</x:v>
      </x:c>
      <x:c r="G492" s="23" t="str">
        <x:v>Actual</x:v>
      </x:c>
      <x:c r="H492" s="23" t="str">
        <x:v>EUR</x:v>
      </x:c>
    </x:row>
    <x:row r="493">
      <x:c r="A493" s="23" t="str">
        <x:v>2026-05</x:v>
      </x:c>
      <x:c r="B493" s="23" t="str">
        <x:v>2026-05-31</x:v>
      </x:c>
      <x:c r="C493" s="23" t="str">
        <x:v>7100</x:v>
      </x:c>
      <x:c r="D493" s="23" t="str">
        <x:v>Ingresos financieros</x:v>
      </x:c>
      <x:c r="E493" s="24" t="n">
        <x:v>6171</x:v>
      </x:c>
      <x:c r="F493" s="23" t="str">
        <x:v>ERP simulado</x:v>
      </x:c>
      <x:c r="G493" s="23" t="str">
        <x:v>Actual</x:v>
      </x:c>
      <x:c r="H493" s="23" t="str">
        <x:v>EUR</x:v>
      </x:c>
    </x:row>
    <x:row r="494">
      <x:c r="A494" s="23" t="str">
        <x:v>2026-05</x:v>
      </x:c>
      <x:c r="B494" s="23" t="str">
        <x:v>2026-05-31</x:v>
      </x:c>
      <x:c r="C494" s="23" t="str">
        <x:v>8000</x:v>
      </x:c>
      <x:c r="D494" s="23" t="str">
        <x:v>Impuesto sobre beneficios</x:v>
      </x:c>
      <x:c r="E494" s="24" t="n">
        <x:v>-101303</x:v>
      </x:c>
      <x:c r="F494" s="23" t="str">
        <x:v>ERP simulado</x:v>
      </x:c>
      <x:c r="G494" s="23" t="str">
        <x:v>Actual</x:v>
      </x:c>
      <x:c r="H494" s="23" t="str">
        <x:v>EUR</x:v>
      </x:c>
    </x:row>
    <x:row r="495">
      <x:c r="A495" s="23" t="str">
        <x:v>2026-06</x:v>
      </x:c>
      <x:c r="B495" s="23" t="str">
        <x:v>2026-06-30</x:v>
      </x:c>
      <x:c r="C495" s="23" t="str">
        <x:v>4000</x:v>
      </x:c>
      <x:c r="D495" s="23" t="str">
        <x:v>Ingresos por producto</x:v>
      </x:c>
      <x:c r="E495" s="24" t="n">
        <x:v>2681943</x:v>
      </x:c>
      <x:c r="F495" s="23" t="str">
        <x:v>ERP simulado</x:v>
      </x:c>
      <x:c r="G495" s="23" t="str">
        <x:v>Actual</x:v>
      </x:c>
      <x:c r="H495" s="23" t="str">
        <x:v>EUR</x:v>
      </x:c>
    </x:row>
    <x:row r="496">
      <x:c r="A496" s="23" t="str">
        <x:v>2026-06</x:v>
      </x:c>
      <x:c r="B496" s="23" t="str">
        <x:v>2026-06-30</x:v>
      </x:c>
      <x:c r="C496" s="23" t="str">
        <x:v>4010</x:v>
      </x:c>
      <x:c r="D496" s="23" t="str">
        <x:v>Ingresos por servicios</x:v>
      </x:c>
      <x:c r="E496" s="24" t="n">
        <x:v>982768</x:v>
      </x:c>
      <x:c r="F496" s="23" t="str">
        <x:v>ERP simulado</x:v>
      </x:c>
      <x:c r="G496" s="23" t="str">
        <x:v>Actual</x:v>
      </x:c>
      <x:c r="H496" s="23" t="str">
        <x:v>EUR</x:v>
      </x:c>
    </x:row>
    <x:row r="497">
      <x:c r="A497" s="23" t="str">
        <x:v>2026-06</x:v>
      </x:c>
      <x:c r="B497" s="23" t="str">
        <x:v>2026-06-30</x:v>
      </x:c>
      <x:c r="C497" s="23" t="str">
        <x:v>5000</x:v>
      </x:c>
      <x:c r="D497" s="23" t="str">
        <x:v>Materiales directos</x:v>
      </x:c>
      <x:c r="E497" s="24" t="n">
        <x:v>-1293643</x:v>
      </x:c>
      <x:c r="F497" s="23" t="str">
        <x:v>ERP simulado</x:v>
      </x:c>
      <x:c r="G497" s="23" t="str">
        <x:v>Actual</x:v>
      </x:c>
      <x:c r="H497" s="23" t="str">
        <x:v>EUR</x:v>
      </x:c>
    </x:row>
    <x:row r="498">
      <x:c r="A498" s="23" t="str">
        <x:v>2026-06</x:v>
      </x:c>
      <x:c r="B498" s="23" t="str">
        <x:v>2026-06-30</x:v>
      </x:c>
      <x:c r="C498" s="23" t="str">
        <x:v>5010</x:v>
      </x:c>
      <x:c r="D498" s="23" t="str">
        <x:v>Mano de obra directa</x:v>
      </x:c>
      <x:c r="E498" s="24" t="n">
        <x:v>-641324</x:v>
      </x:c>
      <x:c r="F498" s="23" t="str">
        <x:v>ERP simulado</x:v>
      </x:c>
      <x:c r="G498" s="23" t="str">
        <x:v>Actual</x:v>
      </x:c>
      <x:c r="H498" s="23" t="str">
        <x:v>EUR</x:v>
      </x:c>
    </x:row>
    <x:row r="499">
      <x:c r="A499" s="23" t="str">
        <x:v>2026-06</x:v>
      </x:c>
      <x:c r="B499" s="23" t="str">
        <x:v>2026-06-30</x:v>
      </x:c>
      <x:c r="C499" s="23" t="str">
        <x:v>5020</x:v>
      </x:c>
      <x:c r="D499" s="23" t="str">
        <x:v>Logística y subcontratación</x:v>
      </x:c>
      <x:c r="E499" s="24" t="n">
        <x:v>-227212</x:v>
      </x:c>
      <x:c r="F499" s="23" t="str">
        <x:v>ERP simulado</x:v>
      </x:c>
      <x:c r="G499" s="23" t="str">
        <x:v>Actual</x:v>
      </x:c>
      <x:c r="H499" s="23" t="str">
        <x:v>EUR</x:v>
      </x:c>
    </x:row>
    <x:row r="500">
      <x:c r="A500" s="23" t="str">
        <x:v>2026-06</x:v>
      </x:c>
      <x:c r="B500" s="23" t="str">
        <x:v>2026-06-30</x:v>
      </x:c>
      <x:c r="C500" s="23" t="str">
        <x:v>6000</x:v>
      </x:c>
      <x:c r="D500" s="23" t="str">
        <x:v>Gastos de personal</x:v>
      </x:c>
      <x:c r="E500" s="24" t="n">
        <x:v>-506228</x:v>
      </x:c>
      <x:c r="F500" s="23" t="str">
        <x:v>ERP simulado</x:v>
      </x:c>
      <x:c r="G500" s="23" t="str">
        <x:v>Actual</x:v>
      </x:c>
      <x:c r="H500" s="23" t="str">
        <x:v>EUR</x:v>
      </x:c>
    </x:row>
    <x:row r="501">
      <x:c r="A501" s="23" t="str">
        <x:v>2026-06</x:v>
      </x:c>
      <x:c r="B501" s="23" t="str">
        <x:v>2026-06-30</x:v>
      </x:c>
      <x:c r="C501" s="23" t="str">
        <x:v>6010</x:v>
      </x:c>
      <x:c r="D501" s="23" t="str">
        <x:v>Ventas y marketing</x:v>
      </x:c>
      <x:c r="E501" s="24" t="n">
        <x:v>-124600</x:v>
      </x:c>
      <x:c r="F501" s="23" t="str">
        <x:v>ERP simulado</x:v>
      </x:c>
      <x:c r="G501" s="23" t="str">
        <x:v>Actual</x:v>
      </x:c>
      <x:c r="H501" s="23" t="str">
        <x:v>EUR</x:v>
      </x:c>
    </x:row>
    <x:row r="502">
      <x:c r="A502" s="23" t="str">
        <x:v>2026-06</x:v>
      </x:c>
      <x:c r="B502" s="23" t="str">
        <x:v>2026-06-30</x:v>
      </x:c>
      <x:c r="C502" s="23" t="str">
        <x:v>6020</x:v>
      </x:c>
      <x:c r="D502" s="23" t="str">
        <x:v>IT y sistemas</x:v>
      </x:c>
      <x:c r="E502" s="24" t="n">
        <x:v>-80624</x:v>
      </x:c>
      <x:c r="F502" s="23" t="str">
        <x:v>ERP simulado</x:v>
      </x:c>
      <x:c r="G502" s="23" t="str">
        <x:v>Actual</x:v>
      </x:c>
      <x:c r="H502" s="23" t="str">
        <x:v>EUR</x:v>
      </x:c>
    </x:row>
    <x:row r="503">
      <x:c r="A503" s="23" t="str">
        <x:v>2026-06</x:v>
      </x:c>
      <x:c r="B503" s="23" t="str">
        <x:v>2026-06-30</x:v>
      </x:c>
      <x:c r="C503" s="23" t="str">
        <x:v>6030</x:v>
      </x:c>
      <x:c r="D503" s="23" t="str">
        <x:v>Alquileres e instalaciones</x:v>
      </x:c>
      <x:c r="E503" s="24" t="n">
        <x:v>-43977</x:v>
      </x:c>
      <x:c r="F503" s="23" t="str">
        <x:v>ERP simulado</x:v>
      </x:c>
      <x:c r="G503" s="23" t="str">
        <x:v>Actual</x:v>
      </x:c>
      <x:c r="H503" s="23" t="str">
        <x:v>EUR</x:v>
      </x:c>
    </x:row>
    <x:row r="504">
      <x:c r="A504" s="23" t="str">
        <x:v>2026-06</x:v>
      </x:c>
      <x:c r="B504" s="23" t="str">
        <x:v>2026-06-30</x:v>
      </x:c>
      <x:c r="C504" s="23" t="str">
        <x:v>6040</x:v>
      </x:c>
      <x:c r="D504" s="23" t="str">
        <x:v>Otros gastos operativos</x:v>
      </x:c>
      <x:c r="E504" s="24" t="n">
        <x:v>-87953</x:v>
      </x:c>
      <x:c r="F504" s="23" t="str">
        <x:v>ERP simulado</x:v>
      </x:c>
      <x:c r="G504" s="23" t="str">
        <x:v>Actual</x:v>
      </x:c>
      <x:c r="H504" s="23" t="str">
        <x:v>EUR</x:v>
      </x:c>
    </x:row>
    <x:row r="505">
      <x:c r="A505" s="23" t="str">
        <x:v>2026-06</x:v>
      </x:c>
      <x:c r="B505" s="23" t="str">
        <x:v>2026-06-30</x:v>
      </x:c>
      <x:c r="C505" s="23" t="str">
        <x:v>6100</x:v>
      </x:c>
      <x:c r="D505" s="23" t="str">
        <x:v>Depreciación</x:v>
      </x:c>
      <x:c r="E505" s="24" t="n">
        <x:v>-177500</x:v>
      </x:c>
      <x:c r="F505" s="23" t="str">
        <x:v>ERP simulado</x:v>
      </x:c>
      <x:c r="G505" s="23" t="str">
        <x:v>Actual</x:v>
      </x:c>
      <x:c r="H505" s="23" t="str">
        <x:v>EUR</x:v>
      </x:c>
    </x:row>
    <x:row r="506">
      <x:c r="A506" s="23" t="str">
        <x:v>2026-06</x:v>
      </x:c>
      <x:c r="B506" s="23" t="str">
        <x:v>2026-06-30</x:v>
      </x:c>
      <x:c r="C506" s="23" t="str">
        <x:v>6110</x:v>
      </x:c>
      <x:c r="D506" s="23" t="str">
        <x:v>Amortización</x:v>
      </x:c>
      <x:c r="E506" s="24" t="n">
        <x:v>-32150</x:v>
      </x:c>
      <x:c r="F506" s="23" t="str">
        <x:v>ERP simulado</x:v>
      </x:c>
      <x:c r="G506" s="23" t="str">
        <x:v>Actual</x:v>
      </x:c>
      <x:c r="H506" s="23" t="str">
        <x:v>EUR</x:v>
      </x:c>
    </x:row>
    <x:row r="507">
      <x:c r="A507" s="23" t="str">
        <x:v>2026-06</x:v>
      </x:c>
      <x:c r="B507" s="23" t="str">
        <x:v>2026-06-30</x:v>
      </x:c>
      <x:c r="C507" s="23" t="str">
        <x:v>6200</x:v>
      </x:c>
      <x:c r="D507" s="23" t="str">
        <x:v>Deterioros</x:v>
      </x:c>
      <x:c r="E507" s="24" t="n">
        <x:v>0</x:v>
      </x:c>
      <x:c r="F507" s="23" t="str">
        <x:v>ERP simulado</x:v>
      </x:c>
      <x:c r="G507" s="23" t="str">
        <x:v>Actual</x:v>
      </x:c>
      <x:c r="H507" s="23" t="str">
        <x:v>EUR</x:v>
      </x:c>
    </x:row>
    <x:row r="508">
      <x:c r="A508" s="23" t="str">
        <x:v>2026-06</x:v>
      </x:c>
      <x:c r="B508" s="23" t="str">
        <x:v>2026-06-30</x:v>
      </x:c>
      <x:c r="C508" s="23" t="str">
        <x:v>6300</x:v>
      </x:c>
      <x:c r="D508" s="23" t="str">
        <x:v>Resultado por venta de activos</x:v>
      </x:c>
      <x:c r="E508" s="24" t="n">
        <x:v>0</x:v>
      </x:c>
      <x:c r="F508" s="23" t="str">
        <x:v>ERP simulado</x:v>
      </x:c>
      <x:c r="G508" s="23" t="str">
        <x:v>Actual</x:v>
      </x:c>
      <x:c r="H508" s="23" t="str">
        <x:v>EUR</x:v>
      </x:c>
    </x:row>
    <x:row r="509">
      <x:c r="A509" s="23" t="str">
        <x:v>2026-06</x:v>
      </x:c>
      <x:c r="B509" s="23" t="str">
        <x:v>2026-06-30</x:v>
      </x:c>
      <x:c r="C509" s="23" t="str">
        <x:v>7000</x:v>
      </x:c>
      <x:c r="D509" s="23" t="str">
        <x:v>Gastos financieros</x:v>
      </x:c>
      <x:c r="E509" s="24" t="n">
        <x:v>-36000</x:v>
      </x:c>
      <x:c r="F509" s="23" t="str">
        <x:v>ERP simulado</x:v>
      </x:c>
      <x:c r="G509" s="23" t="str">
        <x:v>Actual</x:v>
      </x:c>
      <x:c r="H509" s="23" t="str">
        <x:v>EUR</x:v>
      </x:c>
    </x:row>
    <x:row r="510">
      <x:c r="A510" s="23" t="str">
        <x:v>2026-06</x:v>
      </x:c>
      <x:c r="B510" s="23" t="str">
        <x:v>2026-06-30</x:v>
      </x:c>
      <x:c r="C510" s="23" t="str">
        <x:v>7100</x:v>
      </x:c>
      <x:c r="D510" s="23" t="str">
        <x:v>Ingresos financieros</x:v>
      </x:c>
      <x:c r="E510" s="24" t="n">
        <x:v>6331</x:v>
      </x:c>
      <x:c r="F510" s="23" t="str">
        <x:v>ERP simulado</x:v>
      </x:c>
      <x:c r="G510" s="23" t="str">
        <x:v>Actual</x:v>
      </x:c>
      <x:c r="H510" s="23" t="str">
        <x:v>EUR</x:v>
      </x:c>
    </x:row>
    <x:row r="511">
      <x:c r="A511" s="23" t="str">
        <x:v>2026-06</x:v>
      </x:c>
      <x:c r="B511" s="23" t="str">
        <x:v>2026-06-30</x:v>
      </x:c>
      <x:c r="C511" s="23" t="str">
        <x:v>8000</x:v>
      </x:c>
      <x:c r="D511" s="23" t="str">
        <x:v>Impuesto sobre beneficios</x:v>
      </x:c>
      <x:c r="E511" s="24" t="n">
        <x:v>-104958</x:v>
      </x:c>
      <x:c r="F511" s="23" t="str">
        <x:v>ERP simulado</x:v>
      </x:c>
      <x:c r="G511" s="23" t="str">
        <x:v>Actual</x:v>
      </x:c>
      <x:c r="H511" s="23" t="str">
        <x:v>EUR</x:v>
      </x:c>
    </x:row>
    <x:row r="512">
      <x:c r="A512" s="23" t="str">
        <x:v>2026-07</x:v>
      </x:c>
      <x:c r="B512" s="23" t="str">
        <x:v>2026-07-31</x:v>
      </x:c>
      <x:c r="C512" s="23" t="str">
        <x:v>4000</x:v>
      </x:c>
      <x:c r="D512" s="23" t="str">
        <x:v>Ingresos por producto</x:v>
      </x:c>
      <x:c r="E512" s="24" t="n">
        <x:v>2522343</x:v>
      </x:c>
      <x:c r="F512" s="23" t="str">
        <x:v>ERP simulado</x:v>
      </x:c>
      <x:c r="G512" s="23" t="str">
        <x:v>Actual</x:v>
      </x:c>
      <x:c r="H512" s="23" t="str">
        <x:v>EUR</x:v>
      </x:c>
    </x:row>
    <x:row r="513">
      <x:c r="A513" s="23" t="str">
        <x:v>2026-07</x:v>
      </x:c>
      <x:c r="B513" s="23" t="str">
        <x:v>2026-07-31</x:v>
      </x:c>
      <x:c r="C513" s="23" t="str">
        <x:v>4010</x:v>
      </x:c>
      <x:c r="D513" s="23" t="str">
        <x:v>Ingresos por servicios</x:v>
      </x:c>
      <x:c r="E513" s="24" t="n">
        <x:v>913174</x:v>
      </x:c>
      <x:c r="F513" s="23" t="str">
        <x:v>ERP simulado</x:v>
      </x:c>
      <x:c r="G513" s="23" t="str">
        <x:v>Actual</x:v>
      </x:c>
      <x:c r="H513" s="23" t="str">
        <x:v>EUR</x:v>
      </x:c>
    </x:row>
    <x:row r="514">
      <x:c r="A514" s="23" t="str">
        <x:v>2026-07</x:v>
      </x:c>
      <x:c r="B514" s="23" t="str">
        <x:v>2026-07-31</x:v>
      </x:c>
      <x:c r="C514" s="23" t="str">
        <x:v>5000</x:v>
      </x:c>
      <x:c r="D514" s="23" t="str">
        <x:v>Materiales directos</x:v>
      </x:c>
      <x:c r="E514" s="24" t="n">
        <x:v>-1212738</x:v>
      </x:c>
      <x:c r="F514" s="23" t="str">
        <x:v>ERP simulado</x:v>
      </x:c>
      <x:c r="G514" s="23" t="str">
        <x:v>Actual</x:v>
      </x:c>
      <x:c r="H514" s="23" t="str">
        <x:v>EUR</x:v>
      </x:c>
    </x:row>
    <x:row r="515">
      <x:c r="A515" s="23" t="str">
        <x:v>2026-07</x:v>
      </x:c>
      <x:c r="B515" s="23" t="str">
        <x:v>2026-07-31</x:v>
      </x:c>
      <x:c r="C515" s="23" t="str">
        <x:v>5010</x:v>
      </x:c>
      <x:c r="D515" s="23" t="str">
        <x:v>Mano de obra directa</x:v>
      </x:c>
      <x:c r="E515" s="24" t="n">
        <x:v>-601215</x:v>
      </x:c>
      <x:c r="F515" s="23" t="str">
        <x:v>ERP simulado</x:v>
      </x:c>
      <x:c r="G515" s="23" t="str">
        <x:v>Actual</x:v>
      </x:c>
      <x:c r="H515" s="23" t="str">
        <x:v>EUR</x:v>
      </x:c>
    </x:row>
    <x:row r="516">
      <x:c r="A516" s="23" t="str">
        <x:v>2026-07</x:v>
      </x:c>
      <x:c r="B516" s="23" t="str">
        <x:v>2026-07-31</x:v>
      </x:c>
      <x:c r="C516" s="23" t="str">
        <x:v>5020</x:v>
      </x:c>
      <x:c r="D516" s="23" t="str">
        <x:v>Logística y subcontratación</x:v>
      </x:c>
      <x:c r="E516" s="24" t="n">
        <x:v>-213002</x:v>
      </x:c>
      <x:c r="F516" s="23" t="str">
        <x:v>ERP simulado</x:v>
      </x:c>
      <x:c r="G516" s="23" t="str">
        <x:v>Actual</x:v>
      </x:c>
      <x:c r="H516" s="23" t="str">
        <x:v>EUR</x:v>
      </x:c>
    </x:row>
    <x:row r="517">
      <x:c r="A517" s="23" t="str">
        <x:v>2026-07</x:v>
      </x:c>
      <x:c r="B517" s="23" t="str">
        <x:v>2026-07-31</x:v>
      </x:c>
      <x:c r="C517" s="23" t="str">
        <x:v>6000</x:v>
      </x:c>
      <x:c r="D517" s="23" t="str">
        <x:v>Gastos de personal</x:v>
      </x:c>
      <x:c r="E517" s="24" t="n">
        <x:v>-473048</x:v>
      </x:c>
      <x:c r="F517" s="23" t="str">
        <x:v>ERP simulado</x:v>
      </x:c>
      <x:c r="G517" s="23" t="str">
        <x:v>Actual</x:v>
      </x:c>
      <x:c r="H517" s="23" t="str">
        <x:v>EUR</x:v>
      </x:c>
    </x:row>
    <x:row r="518">
      <x:c r="A518" s="23" t="str">
        <x:v>2026-07</x:v>
      </x:c>
      <x:c r="B518" s="23" t="str">
        <x:v>2026-07-31</x:v>
      </x:c>
      <x:c r="C518" s="23" t="str">
        <x:v>6010</x:v>
      </x:c>
      <x:c r="D518" s="23" t="str">
        <x:v>Ventas y marketing</x:v>
      </x:c>
      <x:c r="E518" s="24" t="n">
        <x:v>-116808</x:v>
      </x:c>
      <x:c r="F518" s="23" t="str">
        <x:v>ERP simulado</x:v>
      </x:c>
      <x:c r="G518" s="23" t="str">
        <x:v>Actual</x:v>
      </x:c>
      <x:c r="H518" s="23" t="str">
        <x:v>EUR</x:v>
      </x:c>
    </x:row>
    <x:row r="519">
      <x:c r="A519" s="23" t="str">
        <x:v>2026-07</x:v>
      </x:c>
      <x:c r="B519" s="23" t="str">
        <x:v>2026-07-31</x:v>
      </x:c>
      <x:c r="C519" s="23" t="str">
        <x:v>6020</x:v>
      </x:c>
      <x:c r="D519" s="23" t="str">
        <x:v>IT y sistemas</x:v>
      </x:c>
      <x:c r="E519" s="24" t="n">
        <x:v>-75581</x:v>
      </x:c>
      <x:c r="F519" s="23" t="str">
        <x:v>ERP simulado</x:v>
      </x:c>
      <x:c r="G519" s="23" t="str">
        <x:v>Actual</x:v>
      </x:c>
      <x:c r="H519" s="23" t="str">
        <x:v>EUR</x:v>
      </x:c>
    </x:row>
    <x:row r="520">
      <x:c r="A520" s="23" t="str">
        <x:v>2026-07</x:v>
      </x:c>
      <x:c r="B520" s="23" t="str">
        <x:v>2026-07-31</x:v>
      </x:c>
      <x:c r="C520" s="23" t="str">
        <x:v>6030</x:v>
      </x:c>
      <x:c r="D520" s="23" t="str">
        <x:v>Alquileres e instalaciones</x:v>
      </x:c>
      <x:c r="E520" s="24" t="n">
        <x:v>-41226</x:v>
      </x:c>
      <x:c r="F520" s="23" t="str">
        <x:v>ERP simulado</x:v>
      </x:c>
      <x:c r="G520" s="23" t="str">
        <x:v>Actual</x:v>
      </x:c>
      <x:c r="H520" s="23" t="str">
        <x:v>EUR</x:v>
      </x:c>
    </x:row>
    <x:row r="521">
      <x:c r="A521" s="23" t="str">
        <x:v>2026-07</x:v>
      </x:c>
      <x:c r="B521" s="23" t="str">
        <x:v>2026-07-31</x:v>
      </x:c>
      <x:c r="C521" s="23" t="str">
        <x:v>6040</x:v>
      </x:c>
      <x:c r="D521" s="23" t="str">
        <x:v>Otros gastos operativos</x:v>
      </x:c>
      <x:c r="E521" s="24" t="n">
        <x:v>-82452</x:v>
      </x:c>
      <x:c r="F521" s="23" t="str">
        <x:v>ERP simulado</x:v>
      </x:c>
      <x:c r="G521" s="23" t="str">
        <x:v>Actual</x:v>
      </x:c>
      <x:c r="H521" s="23" t="str">
        <x:v>EUR</x:v>
      </x:c>
    </x:row>
    <x:row r="522">
      <x:c r="A522" s="23" t="str">
        <x:v>2026-07</x:v>
      </x:c>
      <x:c r="B522" s="23" t="str">
        <x:v>2026-07-31</x:v>
      </x:c>
      <x:c r="C522" s="23" t="str">
        <x:v>6100</x:v>
      </x:c>
      <x:c r="D522" s="23" t="str">
        <x:v>Depreciación</x:v>
      </x:c>
      <x:c r="E522" s="24" t="n">
        <x:v>-180000</x:v>
      </x:c>
      <x:c r="F522" s="23" t="str">
        <x:v>ERP simulado</x:v>
      </x:c>
      <x:c r="G522" s="23" t="str">
        <x:v>Actual</x:v>
      </x:c>
      <x:c r="H522" s="23" t="str">
        <x:v>EUR</x:v>
      </x:c>
    </x:row>
    <x:row r="523">
      <x:c r="A523" s="23" t="str">
        <x:v>2026-07</x:v>
      </x:c>
      <x:c r="B523" s="23" t="str">
        <x:v>2026-07-31</x:v>
      </x:c>
      <x:c r="C523" s="23" t="str">
        <x:v>6110</x:v>
      </x:c>
      <x:c r="D523" s="23" t="str">
        <x:v>Amortización</x:v>
      </x:c>
      <x:c r="E523" s="24" t="n">
        <x:v>-32500</x:v>
      </x:c>
      <x:c r="F523" s="23" t="str">
        <x:v>ERP simulado</x:v>
      </x:c>
      <x:c r="G523" s="23" t="str">
        <x:v>Actual</x:v>
      </x:c>
      <x:c r="H523" s="23" t="str">
        <x:v>EUR</x:v>
      </x:c>
    </x:row>
    <x:row r="524">
      <x:c r="A524" s="23" t="str">
        <x:v>2026-07</x:v>
      </x:c>
      <x:c r="B524" s="23" t="str">
        <x:v>2026-07-31</x:v>
      </x:c>
      <x:c r="C524" s="23" t="str">
        <x:v>6200</x:v>
      </x:c>
      <x:c r="D524" s="23" t="str">
        <x:v>Deterioros</x:v>
      </x:c>
      <x:c r="E524" s="24" t="n">
        <x:v>0</x:v>
      </x:c>
      <x:c r="F524" s="23" t="str">
        <x:v>ERP simulado</x:v>
      </x:c>
      <x:c r="G524" s="23" t="str">
        <x:v>Actual</x:v>
      </x:c>
      <x:c r="H524" s="23" t="str">
        <x:v>EUR</x:v>
      </x:c>
    </x:row>
    <x:row r="525">
      <x:c r="A525" s="23" t="str">
        <x:v>2026-07</x:v>
      </x:c>
      <x:c r="B525" s="23" t="str">
        <x:v>2026-07-31</x:v>
      </x:c>
      <x:c r="C525" s="23" t="str">
        <x:v>6300</x:v>
      </x:c>
      <x:c r="D525" s="23" t="str">
        <x:v>Resultado por venta de activos</x:v>
      </x:c>
      <x:c r="E525" s="24" t="n">
        <x:v>0</x:v>
      </x:c>
      <x:c r="F525" s="23" t="str">
        <x:v>ERP simulado</x:v>
      </x:c>
      <x:c r="G525" s="23" t="str">
        <x:v>Actual</x:v>
      </x:c>
      <x:c r="H525" s="23" t="str">
        <x:v>EUR</x:v>
      </x:c>
    </x:row>
    <x:row r="526">
      <x:c r="A526" s="23" t="str">
        <x:v>2026-07</x:v>
      </x:c>
      <x:c r="B526" s="23" t="str">
        <x:v>2026-07-31</x:v>
      </x:c>
      <x:c r="C526" s="23" t="str">
        <x:v>7000</x:v>
      </x:c>
      <x:c r="D526" s="23" t="str">
        <x:v>Gastos financieros</x:v>
      </x:c>
      <x:c r="E526" s="24" t="n">
        <x:v>-36000</x:v>
      </x:c>
      <x:c r="F526" s="23" t="str">
        <x:v>ERP simulado</x:v>
      </x:c>
      <x:c r="G526" s="23" t="str">
        <x:v>Actual</x:v>
      </x:c>
      <x:c r="H526" s="23" t="str">
        <x:v>EUR</x:v>
      </x:c>
    </x:row>
    <x:row r="527">
      <x:c r="A527" s="23" t="str">
        <x:v>2026-07</x:v>
      </x:c>
      <x:c r="B527" s="23" t="str">
        <x:v>2026-07-31</x:v>
      </x:c>
      <x:c r="C527" s="23" t="str">
        <x:v>7100</x:v>
      </x:c>
      <x:c r="D527" s="23" t="str">
        <x:v>Ingresos financieros</x:v>
      </x:c>
      <x:c r="E527" s="24" t="n">
        <x:v>6168</x:v>
      </x:c>
      <x:c r="F527" s="23" t="str">
        <x:v>ERP simulado</x:v>
      </x:c>
      <x:c r="G527" s="23" t="str">
        <x:v>Actual</x:v>
      </x:c>
      <x:c r="H527" s="23" t="str">
        <x:v>EUR</x:v>
      </x:c>
    </x:row>
    <x:row r="528">
      <x:c r="A528" s="23" t="str">
        <x:v>2026-07</x:v>
      </x:c>
      <x:c r="B528" s="23" t="str">
        <x:v>2026-07-31</x:v>
      </x:c>
      <x:c r="C528" s="23" t="str">
        <x:v>8000</x:v>
      </x:c>
      <x:c r="D528" s="23" t="str">
        <x:v>Impuesto sobre beneficios</x:v>
      </x:c>
      <x:c r="E528" s="24" t="n">
        <x:v>-94279</x:v>
      </x:c>
      <x:c r="F528" s="23" t="str">
        <x:v>ERP simulado</x:v>
      </x:c>
      <x:c r="G528" s="23" t="str">
        <x:v>Actual</x:v>
      </x:c>
      <x:c r="H528" s="23" t="str">
        <x:v>EUR</x:v>
      </x:c>
    </x:row>
    <x:row r="529">
      <x:c r="A529" s="23" t="str">
        <x:v>2026-08</x:v>
      </x:c>
      <x:c r="B529" s="23" t="str">
        <x:v>2026-08-31</x:v>
      </x:c>
      <x:c r="C529" s="23" t="str">
        <x:v>4000</x:v>
      </x:c>
      <x:c r="D529" s="23" t="str">
        <x:v>Ingresos por producto</x:v>
      </x:c>
      <x:c r="E529" s="24" t="n">
        <x:v>2407122</x:v>
      </x:c>
      <x:c r="F529" s="23" t="str">
        <x:v>ERP simulado</x:v>
      </x:c>
      <x:c r="G529" s="23" t="str">
        <x:v>Actual</x:v>
      </x:c>
      <x:c r="H529" s="23" t="str">
        <x:v>EUR</x:v>
      </x:c>
    </x:row>
    <x:row r="530">
      <x:c r="A530" s="23" t="str">
        <x:v>2026-08</x:v>
      </x:c>
      <x:c r="B530" s="23" t="str">
        <x:v>2026-08-31</x:v>
      </x:c>
      <x:c r="C530" s="23" t="str">
        <x:v>4010</x:v>
      </x:c>
      <x:c r="D530" s="23" t="str">
        <x:v>Ingresos por servicios</x:v>
      </x:c>
      <x:c r="E530" s="24" t="n">
        <x:v>867875</x:v>
      </x:c>
      <x:c r="F530" s="23" t="str">
        <x:v>ERP simulado</x:v>
      </x:c>
      <x:c r="G530" s="23" t="str">
        <x:v>Actual</x:v>
      </x:c>
      <x:c r="H530" s="23" t="str">
        <x:v>EUR</x:v>
      </x:c>
    </x:row>
    <x:row r="531">
      <x:c r="A531" s="23" t="str">
        <x:v>2026-08</x:v>
      </x:c>
      <x:c r="B531" s="23" t="str">
        <x:v>2026-08-31</x:v>
      </x:c>
      <x:c r="C531" s="23" t="str">
        <x:v>5000</x:v>
      </x:c>
      <x:c r="D531" s="23" t="str">
        <x:v>Materiales directos</x:v>
      </x:c>
      <x:c r="E531" s="24" t="n">
        <x:v>-1156074</x:v>
      </x:c>
      <x:c r="F531" s="23" t="str">
        <x:v>ERP simulado</x:v>
      </x:c>
      <x:c r="G531" s="23" t="str">
        <x:v>Actual</x:v>
      </x:c>
      <x:c r="H531" s="23" t="str">
        <x:v>EUR</x:v>
      </x:c>
    </x:row>
    <x:row r="532">
      <x:c r="A532" s="23" t="str">
        <x:v>2026-08</x:v>
      </x:c>
      <x:c r="B532" s="23" t="str">
        <x:v>2026-08-31</x:v>
      </x:c>
      <x:c r="C532" s="23" t="str">
        <x:v>5010</x:v>
      </x:c>
      <x:c r="D532" s="23" t="str">
        <x:v>Mano de obra directa</x:v>
      </x:c>
      <x:c r="E532" s="24" t="n">
        <x:v>-573124</x:v>
      </x:c>
      <x:c r="F532" s="23" t="str">
        <x:v>ERP simulado</x:v>
      </x:c>
      <x:c r="G532" s="23" t="str">
        <x:v>Actual</x:v>
      </x:c>
      <x:c r="H532" s="23" t="str">
        <x:v>EUR</x:v>
      </x:c>
    </x:row>
    <x:row r="533">
      <x:c r="A533" s="23" t="str">
        <x:v>2026-08</x:v>
      </x:c>
      <x:c r="B533" s="23" t="str">
        <x:v>2026-08-31</x:v>
      </x:c>
      <x:c r="C533" s="23" t="str">
        <x:v>5020</x:v>
      </x:c>
      <x:c r="D533" s="23" t="str">
        <x:v>Logística y subcontratación</x:v>
      </x:c>
      <x:c r="E533" s="24" t="n">
        <x:v>-203050</x:v>
      </x:c>
      <x:c r="F533" s="23" t="str">
        <x:v>ERP simulado</x:v>
      </x:c>
      <x:c r="G533" s="23" t="str">
        <x:v>Actual</x:v>
      </x:c>
      <x:c r="H533" s="23" t="str">
        <x:v>EUR</x:v>
      </x:c>
    </x:row>
    <x:row r="534">
      <x:c r="A534" s="23" t="str">
        <x:v>2026-08</x:v>
      </x:c>
      <x:c r="B534" s="23" t="str">
        <x:v>2026-08-31</x:v>
      </x:c>
      <x:c r="C534" s="23" t="str">
        <x:v>6000</x:v>
      </x:c>
      <x:c r="D534" s="23" t="str">
        <x:v>Gastos de personal</x:v>
      </x:c>
      <x:c r="E534" s="24" t="n">
        <x:v>-449354</x:v>
      </x:c>
      <x:c r="F534" s="23" t="str">
        <x:v>ERP simulado</x:v>
      </x:c>
      <x:c r="G534" s="23" t="str">
        <x:v>Actual</x:v>
      </x:c>
      <x:c r="H534" s="23" t="str">
        <x:v>EUR</x:v>
      </x:c>
    </x:row>
    <x:row r="535">
      <x:c r="A535" s="23" t="str">
        <x:v>2026-08</x:v>
      </x:c>
      <x:c r="B535" s="23" t="str">
        <x:v>2026-08-31</x:v>
      </x:c>
      <x:c r="C535" s="23" t="str">
        <x:v>6010</x:v>
      </x:c>
      <x:c r="D535" s="23" t="str">
        <x:v>Ventas y marketing</x:v>
      </x:c>
      <x:c r="E535" s="24" t="n">
        <x:v>-111350</x:v>
      </x:c>
      <x:c r="F535" s="23" t="str">
        <x:v>ERP simulado</x:v>
      </x:c>
      <x:c r="G535" s="23" t="str">
        <x:v>Actual</x:v>
      </x:c>
      <x:c r="H535" s="23" t="str">
        <x:v>EUR</x:v>
      </x:c>
    </x:row>
    <x:row r="536">
      <x:c r="A536" s="23" t="str">
        <x:v>2026-08</x:v>
      </x:c>
      <x:c r="B536" s="23" t="str">
        <x:v>2026-08-31</x:v>
      </x:c>
      <x:c r="C536" s="23" t="str">
        <x:v>6020</x:v>
      </x:c>
      <x:c r="D536" s="23" t="str">
        <x:v>IT y sistemas</x:v>
      </x:c>
      <x:c r="E536" s="24" t="n">
        <x:v>-72050</x:v>
      </x:c>
      <x:c r="F536" s="23" t="str">
        <x:v>ERP simulado</x:v>
      </x:c>
      <x:c r="G536" s="23" t="str">
        <x:v>Actual</x:v>
      </x:c>
      <x:c r="H536" s="23" t="str">
        <x:v>EUR</x:v>
      </x:c>
    </x:row>
    <x:row r="537">
      <x:c r="A537" s="23" t="str">
        <x:v>2026-08</x:v>
      </x:c>
      <x:c r="B537" s="23" t="str">
        <x:v>2026-08-31</x:v>
      </x:c>
      <x:c r="C537" s="23" t="str">
        <x:v>6030</x:v>
      </x:c>
      <x:c r="D537" s="23" t="str">
        <x:v>Alquileres e instalaciones</x:v>
      </x:c>
      <x:c r="E537" s="24" t="n">
        <x:v>-39300</x:v>
      </x:c>
      <x:c r="F537" s="23" t="str">
        <x:v>ERP simulado</x:v>
      </x:c>
      <x:c r="G537" s="23" t="str">
        <x:v>Actual</x:v>
      </x:c>
      <x:c r="H537" s="23" t="str">
        <x:v>EUR</x:v>
      </x:c>
    </x:row>
    <x:row r="538">
      <x:c r="A538" s="23" t="str">
        <x:v>2026-08</x:v>
      </x:c>
      <x:c r="B538" s="23" t="str">
        <x:v>2026-08-31</x:v>
      </x:c>
      <x:c r="C538" s="23" t="str">
        <x:v>6040</x:v>
      </x:c>
      <x:c r="D538" s="23" t="str">
        <x:v>Otros gastos operativos</x:v>
      </x:c>
      <x:c r="E538" s="24" t="n">
        <x:v>-78600</x:v>
      </x:c>
      <x:c r="F538" s="23" t="str">
        <x:v>ERP simulado</x:v>
      </x:c>
      <x:c r="G538" s="23" t="str">
        <x:v>Actual</x:v>
      </x:c>
      <x:c r="H538" s="23" t="str">
        <x:v>EUR</x:v>
      </x:c>
    </x:row>
    <x:row r="539">
      <x:c r="A539" s="23" t="str">
        <x:v>2026-08</x:v>
      </x:c>
      <x:c r="B539" s="23" t="str">
        <x:v>2026-08-31</x:v>
      </x:c>
      <x:c r="C539" s="23" t="str">
        <x:v>6100</x:v>
      </x:c>
      <x:c r="D539" s="23" t="str">
        <x:v>Depreciación</x:v>
      </x:c>
      <x:c r="E539" s="24" t="n">
        <x:v>-182500</x:v>
      </x:c>
      <x:c r="F539" s="23" t="str">
        <x:v>ERP simulado</x:v>
      </x:c>
      <x:c r="G539" s="23" t="str">
        <x:v>Actual</x:v>
      </x:c>
      <x:c r="H539" s="23" t="str">
        <x:v>EUR</x:v>
      </x:c>
    </x:row>
    <x:row r="540">
      <x:c r="A540" s="23" t="str">
        <x:v>2026-08</x:v>
      </x:c>
      <x:c r="B540" s="23" t="str">
        <x:v>2026-08-31</x:v>
      </x:c>
      <x:c r="C540" s="23" t="str">
        <x:v>6110</x:v>
      </x:c>
      <x:c r="D540" s="23" t="str">
        <x:v>Amortización</x:v>
      </x:c>
      <x:c r="E540" s="24" t="n">
        <x:v>-32850</x:v>
      </x:c>
      <x:c r="F540" s="23" t="str">
        <x:v>ERP simulado</x:v>
      </x:c>
      <x:c r="G540" s="23" t="str">
        <x:v>Actual</x:v>
      </x:c>
      <x:c r="H540" s="23" t="str">
        <x:v>EUR</x:v>
      </x:c>
    </x:row>
    <x:row r="541">
      <x:c r="A541" s="23" t="str">
        <x:v>2026-08</x:v>
      </x:c>
      <x:c r="B541" s="23" t="str">
        <x:v>2026-08-31</x:v>
      </x:c>
      <x:c r="C541" s="23" t="str">
        <x:v>6200</x:v>
      </x:c>
      <x:c r="D541" s="23" t="str">
        <x:v>Deterioros</x:v>
      </x:c>
      <x:c r="E541" s="24" t="n">
        <x:v>0</x:v>
      </x:c>
      <x:c r="F541" s="23" t="str">
        <x:v>ERP simulado</x:v>
      </x:c>
      <x:c r="G541" s="23" t="str">
        <x:v>Actual</x:v>
      </x:c>
      <x:c r="H541" s="23" t="str">
        <x:v>EUR</x:v>
      </x:c>
    </x:row>
    <x:row r="542">
      <x:c r="A542" s="23" t="str">
        <x:v>2026-08</x:v>
      </x:c>
      <x:c r="B542" s="23" t="str">
        <x:v>2026-08-31</x:v>
      </x:c>
      <x:c r="C542" s="23" t="str">
        <x:v>6300</x:v>
      </x:c>
      <x:c r="D542" s="23" t="str">
        <x:v>Resultado por venta de activos</x:v>
      </x:c>
      <x:c r="E542" s="24" t="n">
        <x:v>0</x:v>
      </x:c>
      <x:c r="F542" s="23" t="str">
        <x:v>ERP simulado</x:v>
      </x:c>
      <x:c r="G542" s="23" t="str">
        <x:v>Actual</x:v>
      </x:c>
      <x:c r="H542" s="23" t="str">
        <x:v>EUR</x:v>
      </x:c>
    </x:row>
    <x:row r="543">
      <x:c r="A543" s="23" t="str">
        <x:v>2026-08</x:v>
      </x:c>
      <x:c r="B543" s="23" t="str">
        <x:v>2026-08-31</x:v>
      </x:c>
      <x:c r="C543" s="23" t="str">
        <x:v>7000</x:v>
      </x:c>
      <x:c r="D543" s="23" t="str">
        <x:v>Gastos financieros</x:v>
      </x:c>
      <x:c r="E543" s="24" t="n">
        <x:v>-36000</x:v>
      </x:c>
      <x:c r="F543" s="23" t="str">
        <x:v>ERP simulado</x:v>
      </x:c>
      <x:c r="G543" s="23" t="str">
        <x:v>Actual</x:v>
      </x:c>
      <x:c r="H543" s="23" t="str">
        <x:v>EUR</x:v>
      </x:c>
    </x:row>
    <x:row r="544">
      <x:c r="A544" s="23" t="str">
        <x:v>2026-08</x:v>
      </x:c>
      <x:c r="B544" s="23" t="str">
        <x:v>2026-08-31</x:v>
      </x:c>
      <x:c r="C544" s="23" t="str">
        <x:v>7100</x:v>
      </x:c>
      <x:c r="D544" s="23" t="str">
        <x:v>Ingresos financieros</x:v>
      </x:c>
      <x:c r="E544" s="24" t="n">
        <x:v>6845</x:v>
      </x:c>
      <x:c r="F544" s="23" t="str">
        <x:v>ERP simulado</x:v>
      </x:c>
      <x:c r="G544" s="23" t="str">
        <x:v>Actual</x:v>
      </x:c>
      <x:c r="H544" s="23" t="str">
        <x:v>EUR</x:v>
      </x:c>
    </x:row>
    <x:row r="545">
      <x:c r="A545" s="23" t="str">
        <x:v>2026-08</x:v>
      </x:c>
      <x:c r="B545" s="23" t="str">
        <x:v>2026-08-31</x:v>
      </x:c>
      <x:c r="C545" s="23" t="str">
        <x:v>8000</x:v>
      </x:c>
      <x:c r="D545" s="23" t="str">
        <x:v>Impuesto sobre beneficios</x:v>
      </x:c>
      <x:c r="E545" s="24" t="n">
        <x:v>-86898</x:v>
      </x:c>
      <x:c r="F545" s="23" t="str">
        <x:v>ERP simulado</x:v>
      </x:c>
      <x:c r="G545" s="23" t="str">
        <x:v>Actual</x:v>
      </x:c>
      <x:c r="H545" s="23" t="str">
        <x:v>EUR</x:v>
      </x:c>
    </x:row>
    <x:row r="546">
      <x:c r="A546" s="23" t="str">
        <x:v>2026-09</x:v>
      </x:c>
      <x:c r="B546" s="23" t="str">
        <x:v>2026-09-30</x:v>
      </x:c>
      <x:c r="C546" s="23" t="str">
        <x:v>4000</x:v>
      </x:c>
      <x:c r="D546" s="23" t="str">
        <x:v>Ingresos por producto</x:v>
      </x:c>
      <x:c r="E546" s="24" t="n">
        <x:v>2757974</x:v>
      </x:c>
      <x:c r="F546" s="23" t="str">
        <x:v>ERP simulado</x:v>
      </x:c>
      <x:c r="G546" s="23" t="str">
        <x:v>Actual</x:v>
      </x:c>
      <x:c r="H546" s="23" t="str">
        <x:v>EUR</x:v>
      </x:c>
    </x:row>
    <x:row r="547">
      <x:c r="A547" s="23" t="str">
        <x:v>2026-09</x:v>
      </x:c>
      <x:c r="B547" s="23" t="str">
        <x:v>2026-09-30</x:v>
      </x:c>
      <x:c r="C547" s="23" t="str">
        <x:v>4010</x:v>
      </x:c>
      <x:c r="D547" s="23" t="str">
        <x:v>Ingresos por servicios</x:v>
      </x:c>
      <x:c r="E547" s="24" t="n">
        <x:v>998703</x:v>
      </x:c>
      <x:c r="F547" s="23" t="str">
        <x:v>ERP simulado</x:v>
      </x:c>
      <x:c r="G547" s="23" t="str">
        <x:v>Actual</x:v>
      </x:c>
      <x:c r="H547" s="23" t="str">
        <x:v>EUR</x:v>
      </x:c>
    </x:row>
    <x:row r="548">
      <x:c r="A548" s="23" t="str">
        <x:v>2026-09</x:v>
      </x:c>
      <x:c r="B548" s="23" t="str">
        <x:v>2026-09-30</x:v>
      </x:c>
      <x:c r="C548" s="23" t="str">
        <x:v>5000</x:v>
      </x:c>
      <x:c r="D548" s="23" t="str">
        <x:v>Materiales directos</x:v>
      </x:c>
      <x:c r="E548" s="24" t="n">
        <x:v>-1326107</x:v>
      </x:c>
      <x:c r="F548" s="23" t="str">
        <x:v>ERP simulado</x:v>
      </x:c>
      <x:c r="G548" s="23" t="str">
        <x:v>Actual</x:v>
      </x:c>
      <x:c r="H548" s="23" t="str">
        <x:v>EUR</x:v>
      </x:c>
    </x:row>
    <x:row r="549">
      <x:c r="A549" s="23" t="str">
        <x:v>2026-09</x:v>
      </x:c>
      <x:c r="B549" s="23" t="str">
        <x:v>2026-09-30</x:v>
      </x:c>
      <x:c r="C549" s="23" t="str">
        <x:v>5010</x:v>
      </x:c>
      <x:c r="D549" s="23" t="str">
        <x:v>Mano de obra directa</x:v>
      </x:c>
      <x:c r="E549" s="24" t="n">
        <x:v>-657418</x:v>
      </x:c>
      <x:c r="F549" s="23" t="str">
        <x:v>ERP simulado</x:v>
      </x:c>
      <x:c r="G549" s="23" t="str">
        <x:v>Actual</x:v>
      </x:c>
      <x:c r="H549" s="23" t="str">
        <x:v>EUR</x:v>
      </x:c>
    </x:row>
    <x:row r="550">
      <x:c r="A550" s="23" t="str">
        <x:v>2026-09</x:v>
      </x:c>
      <x:c r="B550" s="23" t="str">
        <x:v>2026-09-30</x:v>
      </x:c>
      <x:c r="C550" s="23" t="str">
        <x:v>5020</x:v>
      </x:c>
      <x:c r="D550" s="23" t="str">
        <x:v>Logística y subcontratación</x:v>
      </x:c>
      <x:c r="E550" s="24" t="n">
        <x:v>-232914</x:v>
      </x:c>
      <x:c r="F550" s="23" t="str">
        <x:v>ERP simulado</x:v>
      </x:c>
      <x:c r="G550" s="23" t="str">
        <x:v>Actual</x:v>
      </x:c>
      <x:c r="H550" s="23" t="str">
        <x:v>EUR</x:v>
      </x:c>
    </x:row>
    <x:row r="551">
      <x:c r="A551" s="23" t="str">
        <x:v>2026-09</x:v>
      </x:c>
      <x:c r="B551" s="23" t="str">
        <x:v>2026-09-30</x:v>
      </x:c>
      <x:c r="C551" s="23" t="str">
        <x:v>6000</x:v>
      </x:c>
      <x:c r="D551" s="23" t="str">
        <x:v>Gastos de personal</x:v>
      </x:c>
      <x:c r="E551" s="24" t="n">
        <x:v>-513572</x:v>
      </x:c>
      <x:c r="F551" s="23" t="str">
        <x:v>ERP simulado</x:v>
      </x:c>
      <x:c r="G551" s="23" t="str">
        <x:v>Actual</x:v>
      </x:c>
      <x:c r="H551" s="23" t="str">
        <x:v>EUR</x:v>
      </x:c>
    </x:row>
    <x:row r="552">
      <x:c r="A552" s="23" t="str">
        <x:v>2026-09</x:v>
      </x:c>
      <x:c r="B552" s="23" t="str">
        <x:v>2026-09-30</x:v>
      </x:c>
      <x:c r="C552" s="23" t="str">
        <x:v>6010</x:v>
      </x:c>
      <x:c r="D552" s="23" t="str">
        <x:v>Ventas y marketing</x:v>
      </x:c>
      <x:c r="E552" s="24" t="n">
        <x:v>-127727</x:v>
      </x:c>
      <x:c r="F552" s="23" t="str">
        <x:v>ERP simulado</x:v>
      </x:c>
      <x:c r="G552" s="23" t="str">
        <x:v>Actual</x:v>
      </x:c>
      <x:c r="H552" s="23" t="str">
        <x:v>EUR</x:v>
      </x:c>
    </x:row>
    <x:row r="553">
      <x:c r="A553" s="23" t="str">
        <x:v>2026-09</x:v>
      </x:c>
      <x:c r="B553" s="23" t="str">
        <x:v>2026-09-30</x:v>
      </x:c>
      <x:c r="C553" s="23" t="str">
        <x:v>6020</x:v>
      </x:c>
      <x:c r="D553" s="23" t="str">
        <x:v>IT y sistemas</x:v>
      </x:c>
      <x:c r="E553" s="24" t="n">
        <x:v>-82647</x:v>
      </x:c>
      <x:c r="F553" s="23" t="str">
        <x:v>ERP simulado</x:v>
      </x:c>
      <x:c r="G553" s="23" t="str">
        <x:v>Actual</x:v>
      </x:c>
      <x:c r="H553" s="23" t="str">
        <x:v>EUR</x:v>
      </x:c>
    </x:row>
    <x:row r="554">
      <x:c r="A554" s="23" t="str">
        <x:v>2026-09</x:v>
      </x:c>
      <x:c r="B554" s="23" t="str">
        <x:v>2026-09-30</x:v>
      </x:c>
      <x:c r="C554" s="23" t="str">
        <x:v>6030</x:v>
      </x:c>
      <x:c r="D554" s="23" t="str">
        <x:v>Alquileres e instalaciones</x:v>
      </x:c>
      <x:c r="E554" s="24" t="n">
        <x:v>-45080</x:v>
      </x:c>
      <x:c r="F554" s="23" t="str">
        <x:v>ERP simulado</x:v>
      </x:c>
      <x:c r="G554" s="23" t="str">
        <x:v>Actual</x:v>
      </x:c>
      <x:c r="H554" s="23" t="str">
        <x:v>EUR</x:v>
      </x:c>
    </x:row>
    <x:row r="555">
      <x:c r="A555" s="23" t="str">
        <x:v>2026-09</x:v>
      </x:c>
      <x:c r="B555" s="23" t="str">
        <x:v>2026-09-30</x:v>
      </x:c>
      <x:c r="C555" s="23" t="str">
        <x:v>6040</x:v>
      </x:c>
      <x:c r="D555" s="23" t="str">
        <x:v>Otros gastos operativos</x:v>
      </x:c>
      <x:c r="E555" s="24" t="n">
        <x:v>-90160</x:v>
      </x:c>
      <x:c r="F555" s="23" t="str">
        <x:v>ERP simulado</x:v>
      </x:c>
      <x:c r="G555" s="23" t="str">
        <x:v>Actual</x:v>
      </x:c>
      <x:c r="H555" s="23" t="str">
        <x:v>EUR</x:v>
      </x:c>
    </x:row>
    <x:row r="556">
      <x:c r="A556" s="23" t="str">
        <x:v>2026-09</x:v>
      </x:c>
      <x:c r="B556" s="23" t="str">
        <x:v>2026-09-30</x:v>
      </x:c>
      <x:c r="C556" s="23" t="str">
        <x:v>6100</x:v>
      </x:c>
      <x:c r="D556" s="23" t="str">
        <x:v>Depreciación</x:v>
      </x:c>
      <x:c r="E556" s="24" t="n">
        <x:v>-185000</x:v>
      </x:c>
      <x:c r="F556" s="23" t="str">
        <x:v>ERP simulado</x:v>
      </x:c>
      <x:c r="G556" s="23" t="str">
        <x:v>Actual</x:v>
      </x:c>
      <x:c r="H556" s="23" t="str">
        <x:v>EUR</x:v>
      </x:c>
    </x:row>
    <x:row r="557">
      <x:c r="A557" s="23" t="str">
        <x:v>2026-09</x:v>
      </x:c>
      <x:c r="B557" s="23" t="str">
        <x:v>2026-09-30</x:v>
      </x:c>
      <x:c r="C557" s="23" t="str">
        <x:v>6110</x:v>
      </x:c>
      <x:c r="D557" s="23" t="str">
        <x:v>Amortización</x:v>
      </x:c>
      <x:c r="E557" s="24" t="n">
        <x:v>-33200</x:v>
      </x:c>
      <x:c r="F557" s="23" t="str">
        <x:v>ERP simulado</x:v>
      </x:c>
      <x:c r="G557" s="23" t="str">
        <x:v>Actual</x:v>
      </x:c>
      <x:c r="H557" s="23" t="str">
        <x:v>EUR</x:v>
      </x:c>
    </x:row>
    <x:row r="558">
      <x:c r="A558" s="23" t="str">
        <x:v>2026-09</x:v>
      </x:c>
      <x:c r="B558" s="23" t="str">
        <x:v>2026-09-30</x:v>
      </x:c>
      <x:c r="C558" s="23" t="str">
        <x:v>6200</x:v>
      </x:c>
      <x:c r="D558" s="23" t="str">
        <x:v>Deterioros</x:v>
      </x:c>
      <x:c r="E558" s="24" t="n">
        <x:v>0</x:v>
      </x:c>
      <x:c r="F558" s="23" t="str">
        <x:v>ERP simulado</x:v>
      </x:c>
      <x:c r="G558" s="23" t="str">
        <x:v>Actual</x:v>
      </x:c>
      <x:c r="H558" s="23" t="str">
        <x:v>EUR</x:v>
      </x:c>
    </x:row>
    <x:row r="559">
      <x:c r="A559" s="23" t="str">
        <x:v>2026-09</x:v>
      </x:c>
      <x:c r="B559" s="23" t="str">
        <x:v>2026-09-30</x:v>
      </x:c>
      <x:c r="C559" s="23" t="str">
        <x:v>6300</x:v>
      </x:c>
      <x:c r="D559" s="23" t="str">
        <x:v>Resultado por venta de activos</x:v>
      </x:c>
      <x:c r="E559" s="24" t="n">
        <x:v>0</x:v>
      </x:c>
      <x:c r="F559" s="23" t="str">
        <x:v>ERP simulado</x:v>
      </x:c>
      <x:c r="G559" s="23" t="str">
        <x:v>Actual</x:v>
      </x:c>
      <x:c r="H559" s="23" t="str">
        <x:v>EUR</x:v>
      </x:c>
    </x:row>
    <x:row r="560">
      <x:c r="A560" s="23" t="str">
        <x:v>2026-09</x:v>
      </x:c>
      <x:c r="B560" s="23" t="str">
        <x:v>2026-09-30</x:v>
      </x:c>
      <x:c r="C560" s="23" t="str">
        <x:v>7000</x:v>
      </x:c>
      <x:c r="D560" s="23" t="str">
        <x:v>Gastos financieros</x:v>
      </x:c>
      <x:c r="E560" s="24" t="n">
        <x:v>-36000</x:v>
      </x:c>
      <x:c r="F560" s="23" t="str">
        <x:v>ERP simulado</x:v>
      </x:c>
      <x:c r="G560" s="23" t="str">
        <x:v>Actual</x:v>
      </x:c>
      <x:c r="H560" s="23" t="str">
        <x:v>EUR</x:v>
      </x:c>
    </x:row>
    <x:row r="561">
      <x:c r="A561" s="23" t="str">
        <x:v>2026-09</x:v>
      </x:c>
      <x:c r="B561" s="23" t="str">
        <x:v>2026-09-30</x:v>
      </x:c>
      <x:c r="C561" s="23" t="str">
        <x:v>7100</x:v>
      </x:c>
      <x:c r="D561" s="23" t="str">
        <x:v>Ingresos financieros</x:v>
      </x:c>
      <x:c r="E561" s="24" t="n">
        <x:v>7285</x:v>
      </x:c>
      <x:c r="F561" s="23" t="str">
        <x:v>ERP simulado</x:v>
      </x:c>
      <x:c r="G561" s="23" t="str">
        <x:v>Actual</x:v>
      </x:c>
      <x:c r="H561" s="23" t="str">
        <x:v>EUR</x:v>
      </x:c>
    </x:row>
    <x:row r="562">
      <x:c r="A562" s="23" t="str">
        <x:v>2026-09</x:v>
      </x:c>
      <x:c r="B562" s="23" t="str">
        <x:v>2026-09-30</x:v>
      </x:c>
      <x:c r="C562" s="23" t="str">
        <x:v>8000</x:v>
      </x:c>
      <x:c r="D562" s="23" t="str">
        <x:v>Impuesto sobre beneficios</x:v>
      </x:c>
      <x:c r="E562" s="24" t="n">
        <x:v>-108534</x:v>
      </x:c>
      <x:c r="F562" s="23" t="str">
        <x:v>ERP simulado</x:v>
      </x:c>
      <x:c r="G562" s="23" t="str">
        <x:v>Actual</x:v>
      </x:c>
      <x:c r="H562" s="23" t="str">
        <x:v>EUR</x:v>
      </x:c>
    </x:row>
    <x:row r="563">
      <x:c r="A563" s="23" t="str">
        <x:v>2026-10</x:v>
      </x:c>
      <x:c r="B563" s="23" t="str">
        <x:v>2026-10-31</x:v>
      </x:c>
      <x:c r="C563" s="23" t="str">
        <x:v>4000</x:v>
      </x:c>
      <x:c r="D563" s="23" t="str">
        <x:v>Ingresos por producto</x:v>
      </x:c>
      <x:c r="E563" s="24" t="n">
        <x:v>2841711</x:v>
      </x:c>
      <x:c r="F563" s="23" t="str">
        <x:v>ERP simulado</x:v>
      </x:c>
      <x:c r="G563" s="23" t="str">
        <x:v>Actual</x:v>
      </x:c>
      <x:c r="H563" s="23" t="str">
        <x:v>EUR</x:v>
      </x:c>
    </x:row>
    <x:row r="564">
      <x:c r="A564" s="23" t="str">
        <x:v>2026-10</x:v>
      </x:c>
      <x:c r="B564" s="23" t="str">
        <x:v>2026-10-31</x:v>
      </x:c>
      <x:c r="C564" s="23" t="str">
        <x:v>4010</x:v>
      </x:c>
      <x:c r="D564" s="23" t="str">
        <x:v>Ingresos por servicios</x:v>
      </x:c>
      <x:c r="E564" s="24" t="n">
        <x:v>1041750</x:v>
      </x:c>
      <x:c r="F564" s="23" t="str">
        <x:v>ERP simulado</x:v>
      </x:c>
      <x:c r="G564" s="23" t="str">
        <x:v>Actual</x:v>
      </x:c>
      <x:c r="H564" s="23" t="str">
        <x:v>EUR</x:v>
      </x:c>
    </x:row>
    <x:row r="565">
      <x:c r="A565" s="23" t="str">
        <x:v>2026-10</x:v>
      </x:c>
      <x:c r="B565" s="23" t="str">
        <x:v>2026-10-31</x:v>
      </x:c>
      <x:c r="C565" s="23" t="str">
        <x:v>5000</x:v>
      </x:c>
      <x:c r="D565" s="23" t="str">
        <x:v>Materiales directos</x:v>
      </x:c>
      <x:c r="E565" s="24" t="n">
        <x:v>-1370862</x:v>
      </x:c>
      <x:c r="F565" s="23" t="str">
        <x:v>ERP simulado</x:v>
      </x:c>
      <x:c r="G565" s="23" t="str">
        <x:v>Actual</x:v>
      </x:c>
      <x:c r="H565" s="23" t="str">
        <x:v>EUR</x:v>
      </x:c>
    </x:row>
    <x:row r="566">
      <x:c r="A566" s="23" t="str">
        <x:v>2026-10</x:v>
      </x:c>
      <x:c r="B566" s="23" t="str">
        <x:v>2026-10-31</x:v>
      </x:c>
      <x:c r="C566" s="23" t="str">
        <x:v>5010</x:v>
      </x:c>
      <x:c r="D566" s="23" t="str">
        <x:v>Mano de obra directa</x:v>
      </x:c>
      <x:c r="E566" s="24" t="n">
        <x:v>-679606</x:v>
      </x:c>
      <x:c r="F566" s="23" t="str">
        <x:v>ERP simulado</x:v>
      </x:c>
      <x:c r="G566" s="23" t="str">
        <x:v>Actual</x:v>
      </x:c>
      <x:c r="H566" s="23" t="str">
        <x:v>EUR</x:v>
      </x:c>
    </x:row>
    <x:row r="567">
      <x:c r="A567" s="23" t="str">
        <x:v>2026-10</x:v>
      </x:c>
      <x:c r="B567" s="23" t="str">
        <x:v>2026-10-31</x:v>
      </x:c>
      <x:c r="C567" s="23" t="str">
        <x:v>5020</x:v>
      </x:c>
      <x:c r="D567" s="23" t="str">
        <x:v>Logística y subcontratación</x:v>
      </x:c>
      <x:c r="E567" s="24" t="n">
        <x:v>-240775</x:v>
      </x:c>
      <x:c r="F567" s="23" t="str">
        <x:v>ERP simulado</x:v>
      </x:c>
      <x:c r="G567" s="23" t="str">
        <x:v>Actual</x:v>
      </x:c>
      <x:c r="H567" s="23" t="str">
        <x:v>EUR</x:v>
      </x:c>
    </x:row>
    <x:row r="568">
      <x:c r="A568" s="23" t="str">
        <x:v>2026-10</x:v>
      </x:c>
      <x:c r="B568" s="23" t="str">
        <x:v>2026-10-31</x:v>
      </x:c>
      <x:c r="C568" s="23" t="str">
        <x:v>6000</x:v>
      </x:c>
      <x:c r="D568" s="23" t="str">
        <x:v>Gastos de personal</x:v>
      </x:c>
      <x:c r="E568" s="24" t="n">
        <x:v>-529038</x:v>
      </x:c>
      <x:c r="F568" s="23" t="str">
        <x:v>ERP simulado</x:v>
      </x:c>
      <x:c r="G568" s="23" t="str">
        <x:v>Actual</x:v>
      </x:c>
      <x:c r="H568" s="23" t="str">
        <x:v>EUR</x:v>
      </x:c>
    </x:row>
    <x:row r="569">
      <x:c r="A569" s="23" t="str">
        <x:v>2026-10</x:v>
      </x:c>
      <x:c r="B569" s="23" t="str">
        <x:v>2026-10-31</x:v>
      </x:c>
      <x:c r="C569" s="23" t="str">
        <x:v>6010</x:v>
      </x:c>
      <x:c r="D569" s="23" t="str">
        <x:v>Ventas y marketing</x:v>
      </x:c>
      <x:c r="E569" s="24" t="n">
        <x:v>-132038</x:v>
      </x:c>
      <x:c r="F569" s="23" t="str">
        <x:v>ERP simulado</x:v>
      </x:c>
      <x:c r="G569" s="23" t="str">
        <x:v>Actual</x:v>
      </x:c>
      <x:c r="H569" s="23" t="str">
        <x:v>EUR</x:v>
      </x:c>
    </x:row>
    <x:row r="570">
      <x:c r="A570" s="23" t="str">
        <x:v>2026-10</x:v>
      </x:c>
      <x:c r="B570" s="23" t="str">
        <x:v>2026-10-31</x:v>
      </x:c>
      <x:c r="C570" s="23" t="str">
        <x:v>6020</x:v>
      </x:c>
      <x:c r="D570" s="23" t="str">
        <x:v>IT y sistemas</x:v>
      </x:c>
      <x:c r="E570" s="24" t="n">
        <x:v>-85436</x:v>
      </x:c>
      <x:c r="F570" s="23" t="str">
        <x:v>ERP simulado</x:v>
      </x:c>
      <x:c r="G570" s="23" t="str">
        <x:v>Actual</x:v>
      </x:c>
      <x:c r="H570" s="23" t="str">
        <x:v>EUR</x:v>
      </x:c>
    </x:row>
    <x:row r="571">
      <x:c r="A571" s="23" t="str">
        <x:v>2026-10</x:v>
      </x:c>
      <x:c r="B571" s="23" t="str">
        <x:v>2026-10-31</x:v>
      </x:c>
      <x:c r="C571" s="23" t="str">
        <x:v>6030</x:v>
      </x:c>
      <x:c r="D571" s="23" t="str">
        <x:v>Alquileres e instalaciones</x:v>
      </x:c>
      <x:c r="E571" s="24" t="n">
        <x:v>-46602</x:v>
      </x:c>
      <x:c r="F571" s="23" t="str">
        <x:v>ERP simulado</x:v>
      </x:c>
      <x:c r="G571" s="23" t="str">
        <x:v>Actual</x:v>
      </x:c>
      <x:c r="H571" s="23" t="str">
        <x:v>EUR</x:v>
      </x:c>
    </x:row>
    <x:row r="572">
      <x:c r="A572" s="23" t="str">
        <x:v>2026-10</x:v>
      </x:c>
      <x:c r="B572" s="23" t="str">
        <x:v>2026-10-31</x:v>
      </x:c>
      <x:c r="C572" s="23" t="str">
        <x:v>6040</x:v>
      </x:c>
      <x:c r="D572" s="23" t="str">
        <x:v>Otros gastos operativos</x:v>
      </x:c>
      <x:c r="E572" s="24" t="n">
        <x:v>-93203</x:v>
      </x:c>
      <x:c r="F572" s="23" t="str">
        <x:v>ERP simulado</x:v>
      </x:c>
      <x:c r="G572" s="23" t="str">
        <x:v>Actual</x:v>
      </x:c>
      <x:c r="H572" s="23" t="str">
        <x:v>EUR</x:v>
      </x:c>
    </x:row>
    <x:row r="573">
      <x:c r="A573" s="23" t="str">
        <x:v>2026-10</x:v>
      </x:c>
      <x:c r="B573" s="23" t="str">
        <x:v>2026-10-31</x:v>
      </x:c>
      <x:c r="C573" s="23" t="str">
        <x:v>6100</x:v>
      </x:c>
      <x:c r="D573" s="23" t="str">
        <x:v>Depreciación</x:v>
      </x:c>
      <x:c r="E573" s="24" t="n">
        <x:v>-187500</x:v>
      </x:c>
      <x:c r="F573" s="23" t="str">
        <x:v>ERP simulado</x:v>
      </x:c>
      <x:c r="G573" s="23" t="str">
        <x:v>Actual</x:v>
      </x:c>
      <x:c r="H573" s="23" t="str">
        <x:v>EUR</x:v>
      </x:c>
    </x:row>
    <x:row r="574">
      <x:c r="A574" s="23" t="str">
        <x:v>2026-10</x:v>
      </x:c>
      <x:c r="B574" s="23" t="str">
        <x:v>2026-10-31</x:v>
      </x:c>
      <x:c r="C574" s="23" t="str">
        <x:v>6110</x:v>
      </x:c>
      <x:c r="D574" s="23" t="str">
        <x:v>Amortización</x:v>
      </x:c>
      <x:c r="E574" s="24" t="n">
        <x:v>-33550</x:v>
      </x:c>
      <x:c r="F574" s="23" t="str">
        <x:v>ERP simulado</x:v>
      </x:c>
      <x:c r="G574" s="23" t="str">
        <x:v>Actual</x:v>
      </x:c>
      <x:c r="H574" s="23" t="str">
        <x:v>EUR</x:v>
      </x:c>
    </x:row>
    <x:row r="575">
      <x:c r="A575" s="23" t="str">
        <x:v>2026-10</x:v>
      </x:c>
      <x:c r="B575" s="23" t="str">
        <x:v>2026-10-31</x:v>
      </x:c>
      <x:c r="C575" s="23" t="str">
        <x:v>6200</x:v>
      </x:c>
      <x:c r="D575" s="23" t="str">
        <x:v>Deterioros</x:v>
      </x:c>
      <x:c r="E575" s="24" t="n">
        <x:v>0</x:v>
      </x:c>
      <x:c r="F575" s="23" t="str">
        <x:v>ERP simulado</x:v>
      </x:c>
      <x:c r="G575" s="23" t="str">
        <x:v>Actual</x:v>
      </x:c>
      <x:c r="H575" s="23" t="str">
        <x:v>EUR</x:v>
      </x:c>
    </x:row>
    <x:row r="576">
      <x:c r="A576" s="23" t="str">
        <x:v>2026-10</x:v>
      </x:c>
      <x:c r="B576" s="23" t="str">
        <x:v>2026-10-31</x:v>
      </x:c>
      <x:c r="C576" s="23" t="str">
        <x:v>6300</x:v>
      </x:c>
      <x:c r="D576" s="23" t="str">
        <x:v>Resultado por venta de activos</x:v>
      </x:c>
      <x:c r="E576" s="24" t="n">
        <x:v>0</x:v>
      </x:c>
      <x:c r="F576" s="23" t="str">
        <x:v>ERP simulado</x:v>
      </x:c>
      <x:c r="G576" s="23" t="str">
        <x:v>Actual</x:v>
      </x:c>
      <x:c r="H576" s="23" t="str">
        <x:v>EUR</x:v>
      </x:c>
    </x:row>
    <x:row r="577">
      <x:c r="A577" s="23" t="str">
        <x:v>2026-10</x:v>
      </x:c>
      <x:c r="B577" s="23" t="str">
        <x:v>2026-10-31</x:v>
      </x:c>
      <x:c r="C577" s="23" t="str">
        <x:v>7000</x:v>
      </x:c>
      <x:c r="D577" s="23" t="str">
        <x:v>Gastos financieros</x:v>
      </x:c>
      <x:c r="E577" s="24" t="n">
        <x:v>-36000</x:v>
      </x:c>
      <x:c r="F577" s="23" t="str">
        <x:v>ERP simulado</x:v>
      </x:c>
      <x:c r="G577" s="23" t="str">
        <x:v>Actual</x:v>
      </x:c>
      <x:c r="H577" s="23" t="str">
        <x:v>EUR</x:v>
      </x:c>
    </x:row>
    <x:row r="578">
      <x:c r="A578" s="23" t="str">
        <x:v>2026-10</x:v>
      </x:c>
      <x:c r="B578" s="23" t="str">
        <x:v>2026-10-31</x:v>
      </x:c>
      <x:c r="C578" s="23" t="str">
        <x:v>7100</x:v>
      </x:c>
      <x:c r="D578" s="23" t="str">
        <x:v>Ingresos financieros</x:v>
      </x:c>
      <x:c r="E578" s="24" t="n">
        <x:v>6306</x:v>
      </x:c>
      <x:c r="F578" s="23" t="str">
        <x:v>ERP simulado</x:v>
      </x:c>
      <x:c r="G578" s="23" t="str">
        <x:v>Actual</x:v>
      </x:c>
      <x:c r="H578" s="23" t="str">
        <x:v>EUR</x:v>
      </x:c>
    </x:row>
    <x:row r="579">
      <x:c r="A579" s="23" t="str">
        <x:v>2026-10</x:v>
      </x:c>
      <x:c r="B579" s="23" t="str">
        <x:v>2026-10-31</x:v>
      </x:c>
      <x:c r="C579" s="23" t="str">
        <x:v>8000</x:v>
      </x:c>
      <x:c r="D579" s="23" t="str">
        <x:v>Impuesto sobre beneficios</x:v>
      </x:c>
      <x:c r="E579" s="24" t="n">
        <x:v>-113789</x:v>
      </x:c>
      <x:c r="F579" s="23" t="str">
        <x:v>ERP simulado</x:v>
      </x:c>
      <x:c r="G579" s="23" t="str">
        <x:v>Actual</x:v>
      </x:c>
      <x:c r="H579" s="23" t="str">
        <x:v>EUR</x:v>
      </x:c>
    </x:row>
    <x:row r="580">
      <x:c r="A580" s="23" t="str">
        <x:v>2026-11</x:v>
      </x:c>
      <x:c r="B580" s="23" t="str">
        <x:v>2026-11-30</x:v>
      </x:c>
      <x:c r="C580" s="23" t="str">
        <x:v>4000</x:v>
      </x:c>
      <x:c r="D580" s="23" t="str">
        <x:v>Ingresos por producto</x:v>
      </x:c>
      <x:c r="E580" s="24" t="n">
        <x:v>2946750</x:v>
      </x:c>
      <x:c r="F580" s="23" t="str">
        <x:v>ERP simulado</x:v>
      </x:c>
      <x:c r="G580" s="23" t="str">
        <x:v>Actual</x:v>
      </x:c>
      <x:c r="H580" s="23" t="str">
        <x:v>EUR</x:v>
      </x:c>
    </x:row>
    <x:row r="581">
      <x:c r="A581" s="23" t="str">
        <x:v>2026-11</x:v>
      </x:c>
      <x:c r="B581" s="23" t="str">
        <x:v>2026-11-30</x:v>
      </x:c>
      <x:c r="C581" s="23" t="str">
        <x:v>4010</x:v>
      </x:c>
      <x:c r="D581" s="23" t="str">
        <x:v>Ingresos por servicios</x:v>
      </x:c>
      <x:c r="E581" s="24" t="n">
        <x:v>1100713</x:v>
      </x:c>
      <x:c r="F581" s="23" t="str">
        <x:v>ERP simulado</x:v>
      </x:c>
      <x:c r="G581" s="23" t="str">
        <x:v>Actual</x:v>
      </x:c>
      <x:c r="H581" s="23" t="str">
        <x:v>EUR</x:v>
      </x:c>
    </x:row>
    <x:row r="582">
      <x:c r="A582" s="23" t="str">
        <x:v>2026-11</x:v>
      </x:c>
      <x:c r="B582" s="23" t="str">
        <x:v>2026-11-30</x:v>
      </x:c>
      <x:c r="C582" s="23" t="str">
        <x:v>5000</x:v>
      </x:c>
      <x:c r="D582" s="23" t="str">
        <x:v>Materiales directos</x:v>
      </x:c>
      <x:c r="E582" s="24" t="n">
        <x:v>-1428754</x:v>
      </x:c>
      <x:c r="F582" s="23" t="str">
        <x:v>ERP simulado</x:v>
      </x:c>
      <x:c r="G582" s="23" t="str">
        <x:v>Actual</x:v>
      </x:c>
      <x:c r="H582" s="23" t="str">
        <x:v>EUR</x:v>
      </x:c>
    </x:row>
    <x:row r="583">
      <x:c r="A583" s="23" t="str">
        <x:v>2026-11</x:v>
      </x:c>
      <x:c r="B583" s="23" t="str">
        <x:v>2026-11-30</x:v>
      </x:c>
      <x:c r="C583" s="23" t="str">
        <x:v>5010</x:v>
      </x:c>
      <x:c r="D583" s="23" t="str">
        <x:v>Mano de obra directa</x:v>
      </x:c>
      <x:c r="E583" s="24" t="n">
        <x:v>-708306</x:v>
      </x:c>
      <x:c r="F583" s="23" t="str">
        <x:v>ERP simulado</x:v>
      </x:c>
      <x:c r="G583" s="23" t="str">
        <x:v>Actual</x:v>
      </x:c>
      <x:c r="H583" s="23" t="str">
        <x:v>EUR</x:v>
      </x:c>
    </x:row>
    <x:row r="584">
      <x:c r="A584" s="23" t="str">
        <x:v>2026-11</x:v>
      </x:c>
      <x:c r="B584" s="23" t="str">
        <x:v>2026-11-30</x:v>
      </x:c>
      <x:c r="C584" s="23" t="str">
        <x:v>5020</x:v>
      </x:c>
      <x:c r="D584" s="23" t="str">
        <x:v>Logística y subcontratación</x:v>
      </x:c>
      <x:c r="E584" s="24" t="n">
        <x:v>-250943</x:v>
      </x:c>
      <x:c r="F584" s="23" t="str">
        <x:v>ERP simulado</x:v>
      </x:c>
      <x:c r="G584" s="23" t="str">
        <x:v>Actual</x:v>
      </x:c>
      <x:c r="H584" s="23" t="str">
        <x:v>EUR</x:v>
      </x:c>
    </x:row>
    <x:row r="585">
      <x:c r="A585" s="23" t="str">
        <x:v>2026-11</x:v>
      </x:c>
      <x:c r="B585" s="23" t="str">
        <x:v>2026-11-30</x:v>
      </x:c>
      <x:c r="C585" s="23" t="str">
        <x:v>6000</x:v>
      </x:c>
      <x:c r="D585" s="23" t="str">
        <x:v>Gastos de personal</x:v>
      </x:c>
      <x:c r="E585" s="24" t="n">
        <x:v>-549629</x:v>
      </x:c>
      <x:c r="F585" s="23" t="str">
        <x:v>ERP simulado</x:v>
      </x:c>
      <x:c r="G585" s="23" t="str">
        <x:v>Actual</x:v>
      </x:c>
      <x:c r="H585" s="23" t="str">
        <x:v>EUR</x:v>
      </x:c>
    </x:row>
    <x:row r="586">
      <x:c r="A586" s="23" t="str">
        <x:v>2026-11</x:v>
      </x:c>
      <x:c r="B586" s="23" t="str">
        <x:v>2026-11-30</x:v>
      </x:c>
      <x:c r="C586" s="23" t="str">
        <x:v>6010</x:v>
      </x:c>
      <x:c r="D586" s="23" t="str">
        <x:v>Ventas y marketing</x:v>
      </x:c>
      <x:c r="E586" s="24" t="n">
        <x:v>-137614</x:v>
      </x:c>
      <x:c r="F586" s="23" t="str">
        <x:v>ERP simulado</x:v>
      </x:c>
      <x:c r="G586" s="23" t="str">
        <x:v>Actual</x:v>
      </x:c>
      <x:c r="H586" s="23" t="str">
        <x:v>EUR</x:v>
      </x:c>
    </x:row>
    <x:row r="587">
      <x:c r="A587" s="23" t="str">
        <x:v>2026-11</x:v>
      </x:c>
      <x:c r="B587" s="23" t="str">
        <x:v>2026-11-30</x:v>
      </x:c>
      <x:c r="C587" s="23" t="str">
        <x:v>6020</x:v>
      </x:c>
      <x:c r="D587" s="23" t="str">
        <x:v>IT y sistemas</x:v>
      </x:c>
      <x:c r="E587" s="24" t="n">
        <x:v>-89044</x:v>
      </x:c>
      <x:c r="F587" s="23" t="str">
        <x:v>ERP simulado</x:v>
      </x:c>
      <x:c r="G587" s="23" t="str">
        <x:v>Actual</x:v>
      </x:c>
      <x:c r="H587" s="23" t="str">
        <x:v>EUR</x:v>
      </x:c>
    </x:row>
    <x:row r="588">
      <x:c r="A588" s="23" t="str">
        <x:v>2026-11</x:v>
      </x:c>
      <x:c r="B588" s="23" t="str">
        <x:v>2026-11-30</x:v>
      </x:c>
      <x:c r="C588" s="23" t="str">
        <x:v>6030</x:v>
      </x:c>
      <x:c r="D588" s="23" t="str">
        <x:v>Alquileres e instalaciones</x:v>
      </x:c>
      <x:c r="E588" s="24" t="n">
        <x:v>-48570</x:v>
      </x:c>
      <x:c r="F588" s="23" t="str">
        <x:v>ERP simulado</x:v>
      </x:c>
      <x:c r="G588" s="23" t="str">
        <x:v>Actual</x:v>
      </x:c>
      <x:c r="H588" s="23" t="str">
        <x:v>EUR</x:v>
      </x:c>
    </x:row>
    <x:row r="589">
      <x:c r="A589" s="23" t="str">
        <x:v>2026-11</x:v>
      </x:c>
      <x:c r="B589" s="23" t="str">
        <x:v>2026-11-30</x:v>
      </x:c>
      <x:c r="C589" s="23" t="str">
        <x:v>6040</x:v>
      </x:c>
      <x:c r="D589" s="23" t="str">
        <x:v>Otros gastos operativos</x:v>
      </x:c>
      <x:c r="E589" s="24" t="n">
        <x:v>-97139</x:v>
      </x:c>
      <x:c r="F589" s="23" t="str">
        <x:v>ERP simulado</x:v>
      </x:c>
      <x:c r="G589" s="23" t="str">
        <x:v>Actual</x:v>
      </x:c>
      <x:c r="H589" s="23" t="str">
        <x:v>EUR</x:v>
      </x:c>
    </x:row>
    <x:row r="590">
      <x:c r="A590" s="23" t="str">
        <x:v>2026-11</x:v>
      </x:c>
      <x:c r="B590" s="23" t="str">
        <x:v>2026-11-30</x:v>
      </x:c>
      <x:c r="C590" s="23" t="str">
        <x:v>6100</x:v>
      </x:c>
      <x:c r="D590" s="23" t="str">
        <x:v>Depreciación</x:v>
      </x:c>
      <x:c r="E590" s="24" t="n">
        <x:v>-190000</x:v>
      </x:c>
      <x:c r="F590" s="23" t="str">
        <x:v>ERP simulado</x:v>
      </x:c>
      <x:c r="G590" s="23" t="str">
        <x:v>Actual</x:v>
      </x:c>
      <x:c r="H590" s="23" t="str">
        <x:v>EUR</x:v>
      </x:c>
    </x:row>
    <x:row r="591">
      <x:c r="A591" s="23" t="str">
        <x:v>2026-11</x:v>
      </x:c>
      <x:c r="B591" s="23" t="str">
        <x:v>2026-11-30</x:v>
      </x:c>
      <x:c r="C591" s="23" t="str">
        <x:v>6110</x:v>
      </x:c>
      <x:c r="D591" s="23" t="str">
        <x:v>Amortización</x:v>
      </x:c>
      <x:c r="E591" s="24" t="n">
        <x:v>-33900</x:v>
      </x:c>
      <x:c r="F591" s="23" t="str">
        <x:v>ERP simulado</x:v>
      </x:c>
      <x:c r="G591" s="23" t="str">
        <x:v>Actual</x:v>
      </x:c>
      <x:c r="H591" s="23" t="str">
        <x:v>EUR</x:v>
      </x:c>
    </x:row>
    <x:row r="592">
      <x:c r="A592" s="23" t="str">
        <x:v>2026-11</x:v>
      </x:c>
      <x:c r="B592" s="23" t="str">
        <x:v>2026-11-30</x:v>
      </x:c>
      <x:c r="C592" s="23" t="str">
        <x:v>6200</x:v>
      </x:c>
      <x:c r="D592" s="23" t="str">
        <x:v>Deterioros</x:v>
      </x:c>
      <x:c r="E592" s="24" t="n">
        <x:v>0</x:v>
      </x:c>
      <x:c r="F592" s="23" t="str">
        <x:v>ERP simulado</x:v>
      </x:c>
      <x:c r="G592" s="23" t="str">
        <x:v>Actual</x:v>
      </x:c>
      <x:c r="H592" s="23" t="str">
        <x:v>EUR</x:v>
      </x:c>
    </x:row>
    <x:row r="593">
      <x:c r="A593" s="23" t="str">
        <x:v>2026-11</x:v>
      </x:c>
      <x:c r="B593" s="23" t="str">
        <x:v>2026-11-30</x:v>
      </x:c>
      <x:c r="C593" s="23" t="str">
        <x:v>6300</x:v>
      </x:c>
      <x:c r="D593" s="23" t="str">
        <x:v>Resultado por venta de activos</x:v>
      </x:c>
      <x:c r="E593" s="24" t="n">
        <x:v>0</x:v>
      </x:c>
      <x:c r="F593" s="23" t="str">
        <x:v>ERP simulado</x:v>
      </x:c>
      <x:c r="G593" s="23" t="str">
        <x:v>Actual</x:v>
      </x:c>
      <x:c r="H593" s="23" t="str">
        <x:v>EUR</x:v>
      </x:c>
    </x:row>
    <x:row r="594">
      <x:c r="A594" s="23" t="str">
        <x:v>2026-11</x:v>
      </x:c>
      <x:c r="B594" s="23" t="str">
        <x:v>2026-11-30</x:v>
      </x:c>
      <x:c r="C594" s="23" t="str">
        <x:v>7000</x:v>
      </x:c>
      <x:c r="D594" s="23" t="str">
        <x:v>Gastos financieros</x:v>
      </x:c>
      <x:c r="E594" s="24" t="n">
        <x:v>-36000</x:v>
      </x:c>
      <x:c r="F594" s="23" t="str">
        <x:v>ERP simulado</x:v>
      </x:c>
      <x:c r="G594" s="23" t="str">
        <x:v>Actual</x:v>
      </x:c>
      <x:c r="H594" s="23" t="str">
        <x:v>EUR</x:v>
      </x:c>
    </x:row>
    <x:row r="595">
      <x:c r="A595" s="23" t="str">
        <x:v>2026-11</x:v>
      </x:c>
      <x:c r="B595" s="23" t="str">
        <x:v>2026-11-30</x:v>
      </x:c>
      <x:c r="C595" s="23" t="str">
        <x:v>7100</x:v>
      </x:c>
      <x:c r="D595" s="23" t="str">
        <x:v>Ingresos financieros</x:v>
      </x:c>
      <x:c r="E595" s="24" t="n">
        <x:v>6678</x:v>
      </x:c>
      <x:c r="F595" s="23" t="str">
        <x:v>ERP simulado</x:v>
      </x:c>
      <x:c r="G595" s="23" t="str">
        <x:v>Actual</x:v>
      </x:c>
      <x:c r="H595" s="23" t="str">
        <x:v>EUR</x:v>
      </x:c>
    </x:row>
    <x:row r="596">
      <x:c r="A596" s="23" t="str">
        <x:v>2026-11</x:v>
      </x:c>
      <x:c r="B596" s="23" t="str">
        <x:v>2026-11-30</x:v>
      </x:c>
      <x:c r="C596" s="23" t="str">
        <x:v>8000</x:v>
      </x:c>
      <x:c r="D596" s="23" t="str">
        <x:v>Impuesto sobre beneficios</x:v>
      </x:c>
      <x:c r="E596" s="24" t="n">
        <x:v>-121061</x:v>
      </x:c>
      <x:c r="F596" s="23" t="str">
        <x:v>ERP simulado</x:v>
      </x:c>
      <x:c r="G596" s="23" t="str">
        <x:v>Actual</x:v>
      </x:c>
      <x:c r="H596" s="23" t="str">
        <x:v>EUR</x:v>
      </x:c>
    </x:row>
    <x:row r="597">
      <x:c r="A597" s="23" t="str">
        <x:v>2026-12</x:v>
      </x:c>
      <x:c r="B597" s="23" t="str">
        <x:v>2026-12-31</x:v>
      </x:c>
      <x:c r="C597" s="23" t="str">
        <x:v>4000</x:v>
      </x:c>
      <x:c r="D597" s="23" t="str">
        <x:v>Ingresos por producto</x:v>
      </x:c>
      <x:c r="E597" s="24" t="n">
        <x:v>3152985</x:v>
      </x:c>
      <x:c r="F597" s="23" t="str">
        <x:v>ERP simulado</x:v>
      </x:c>
      <x:c r="G597" s="23" t="str">
        <x:v>Actual</x:v>
      </x:c>
      <x:c r="H597" s="23" t="str">
        <x:v>EUR</x:v>
      </x:c>
    </x:row>
    <x:row r="598">
      <x:c r="A598" s="23" t="str">
        <x:v>2026-12</x:v>
      </x:c>
      <x:c r="B598" s="23" t="str">
        <x:v>2026-12-31</x:v>
      </x:c>
      <x:c r="C598" s="23" t="str">
        <x:v>4010</x:v>
      </x:c>
      <x:c r="D598" s="23" t="str">
        <x:v>Ingresos por servicios</x:v>
      </x:c>
      <x:c r="E598" s="24" t="n">
        <x:v>1205193</x:v>
      </x:c>
      <x:c r="F598" s="23" t="str">
        <x:v>ERP simulado</x:v>
      </x:c>
      <x:c r="G598" s="23" t="str">
        <x:v>Actual</x:v>
      </x:c>
      <x:c r="H598" s="23" t="str">
        <x:v>EUR</x:v>
      </x:c>
    </x:row>
    <x:row r="599">
      <x:c r="A599" s="23" t="str">
        <x:v>2026-12</x:v>
      </x:c>
      <x:c r="B599" s="23" t="str">
        <x:v>2026-12-31</x:v>
      </x:c>
      <x:c r="C599" s="23" t="str">
        <x:v>5000</x:v>
      </x:c>
      <x:c r="D599" s="23" t="str">
        <x:v>Materiales directos</x:v>
      </x:c>
      <x:c r="E599" s="24" t="n">
        <x:v>-1538437</x:v>
      </x:c>
      <x:c r="F599" s="23" t="str">
        <x:v>ERP simulado</x:v>
      </x:c>
      <x:c r="G599" s="23" t="str">
        <x:v>Actual</x:v>
      </x:c>
      <x:c r="H599" s="23" t="str">
        <x:v>EUR</x:v>
      </x:c>
    </x:row>
    <x:row r="600">
      <x:c r="A600" s="23" t="str">
        <x:v>2026-12</x:v>
      </x:c>
      <x:c r="B600" s="23" t="str">
        <x:v>2026-12-31</x:v>
      </x:c>
      <x:c r="C600" s="23" t="str">
        <x:v>5010</x:v>
      </x:c>
      <x:c r="D600" s="23" t="str">
        <x:v>Mano de obra directa</x:v>
      </x:c>
      <x:c r="E600" s="24" t="n">
        <x:v>-762681</x:v>
      </x:c>
      <x:c r="F600" s="23" t="str">
        <x:v>ERP simulado</x:v>
      </x:c>
      <x:c r="G600" s="23" t="str">
        <x:v>Actual</x:v>
      </x:c>
      <x:c r="H600" s="23" t="str">
        <x:v>EUR</x:v>
      </x:c>
    </x:row>
    <x:row r="601">
      <x:c r="A601" s="23" t="str">
        <x:v>2026-12</x:v>
      </x:c>
      <x:c r="B601" s="23" t="str">
        <x:v>2026-12-31</x:v>
      </x:c>
      <x:c r="C601" s="23" t="str">
        <x:v>5020</x:v>
      </x:c>
      <x:c r="D601" s="23" t="str">
        <x:v>Logística y subcontratación</x:v>
      </x:c>
      <x:c r="E601" s="24" t="n">
        <x:v>-270207</x:v>
      </x:c>
      <x:c r="F601" s="23" t="str">
        <x:v>ERP simulado</x:v>
      </x:c>
      <x:c r="G601" s="23" t="str">
        <x:v>Actual</x:v>
      </x:c>
      <x:c r="H601" s="23" t="str">
        <x:v>EUR</x:v>
      </x:c>
    </x:row>
    <x:row r="602">
      <x:c r="A602" s="23" t="str">
        <x:v>2026-12</x:v>
      </x:c>
      <x:c r="B602" s="23" t="str">
        <x:v>2026-12-31</x:v>
      </x:c>
      <x:c r="C602" s="23" t="str">
        <x:v>6000</x:v>
      </x:c>
      <x:c r="D602" s="23" t="str">
        <x:v>Gastos de personal</x:v>
      </x:c>
      <x:c r="E602" s="24" t="n">
        <x:v>-590264</x:v>
      </x:c>
      <x:c r="F602" s="23" t="str">
        <x:v>ERP simulado</x:v>
      </x:c>
      <x:c r="G602" s="23" t="str">
        <x:v>Actual</x:v>
      </x:c>
      <x:c r="H602" s="23" t="str">
        <x:v>EUR</x:v>
      </x:c>
    </x:row>
    <x:row r="603">
      <x:c r="A603" s="23" t="str">
        <x:v>2026-12</x:v>
      </x:c>
      <x:c r="B603" s="23" t="str">
        <x:v>2026-12-31</x:v>
      </x:c>
      <x:c r="C603" s="23" t="str">
        <x:v>6010</x:v>
      </x:c>
      <x:c r="D603" s="23" t="str">
        <x:v>Ventas y marketing</x:v>
      </x:c>
      <x:c r="E603" s="24" t="n">
        <x:v>-148178</x:v>
      </x:c>
      <x:c r="F603" s="23" t="str">
        <x:v>ERP simulado</x:v>
      </x:c>
      <x:c r="G603" s="23" t="str">
        <x:v>Actual</x:v>
      </x:c>
      <x:c r="H603" s="23" t="str">
        <x:v>EUR</x:v>
      </x:c>
    </x:row>
    <x:row r="604">
      <x:c r="A604" s="23" t="str">
        <x:v>2026-12</x:v>
      </x:c>
      <x:c r="B604" s="23" t="str">
        <x:v>2026-12-31</x:v>
      </x:c>
      <x:c r="C604" s="23" t="str">
        <x:v>6020</x:v>
      </x:c>
      <x:c r="D604" s="23" t="str">
        <x:v>IT y sistemas</x:v>
      </x:c>
      <x:c r="E604" s="24" t="n">
        <x:v>-95880</x:v>
      </x:c>
      <x:c r="F604" s="23" t="str">
        <x:v>ERP simulado</x:v>
      </x:c>
      <x:c r="G604" s="23" t="str">
        <x:v>Actual</x:v>
      </x:c>
      <x:c r="H604" s="23" t="str">
        <x:v>EUR</x:v>
      </x:c>
    </x:row>
    <x:row r="605">
      <x:c r="A605" s="23" t="str">
        <x:v>2026-12</x:v>
      </x:c>
      <x:c r="B605" s="23" t="str">
        <x:v>2026-12-31</x:v>
      </x:c>
      <x:c r="C605" s="23" t="str">
        <x:v>6030</x:v>
      </x:c>
      <x:c r="D605" s="23" t="str">
        <x:v>Alquileres e instalaciones</x:v>
      </x:c>
      <x:c r="E605" s="24" t="n">
        <x:v>-52298</x:v>
      </x:c>
      <x:c r="F605" s="23" t="str">
        <x:v>ERP simulado</x:v>
      </x:c>
      <x:c r="G605" s="23" t="str">
        <x:v>Actual</x:v>
      </x:c>
      <x:c r="H605" s="23" t="str">
        <x:v>EUR</x:v>
      </x:c>
    </x:row>
    <x:row r="606">
      <x:c r="A606" s="23" t="str">
        <x:v>2026-12</x:v>
      </x:c>
      <x:c r="B606" s="23" t="str">
        <x:v>2026-12-31</x:v>
      </x:c>
      <x:c r="C606" s="23" t="str">
        <x:v>6040</x:v>
      </x:c>
      <x:c r="D606" s="23" t="str">
        <x:v>Otros gastos operativos</x:v>
      </x:c>
      <x:c r="E606" s="24" t="n">
        <x:v>-104596</x:v>
      </x:c>
      <x:c r="F606" s="23" t="str">
        <x:v>ERP simulado</x:v>
      </x:c>
      <x:c r="G606" s="23" t="str">
        <x:v>Actual</x:v>
      </x:c>
      <x:c r="H606" s="23" t="str">
        <x:v>EUR</x:v>
      </x:c>
    </x:row>
    <x:row r="607">
      <x:c r="A607" s="23" t="str">
        <x:v>2026-12</x:v>
      </x:c>
      <x:c r="B607" s="23" t="str">
        <x:v>2026-12-31</x:v>
      </x:c>
      <x:c r="C607" s="23" t="str">
        <x:v>6100</x:v>
      </x:c>
      <x:c r="D607" s="23" t="str">
        <x:v>Depreciación</x:v>
      </x:c>
      <x:c r="E607" s="24" t="n">
        <x:v>-192500</x:v>
      </x:c>
      <x:c r="F607" s="23" t="str">
        <x:v>ERP simulado</x:v>
      </x:c>
      <x:c r="G607" s="23" t="str">
        <x:v>Actual</x:v>
      </x:c>
      <x:c r="H607" s="23" t="str">
        <x:v>EUR</x:v>
      </x:c>
    </x:row>
    <x:row r="608">
      <x:c r="A608" s="23" t="str">
        <x:v>2026-12</x:v>
      </x:c>
      <x:c r="B608" s="23" t="str">
        <x:v>2026-12-31</x:v>
      </x:c>
      <x:c r="C608" s="23" t="str">
        <x:v>6110</x:v>
      </x:c>
      <x:c r="D608" s="23" t="str">
        <x:v>Amortización</x:v>
      </x:c>
      <x:c r="E608" s="24" t="n">
        <x:v>-34250</x:v>
      </x:c>
      <x:c r="F608" s="23" t="str">
        <x:v>ERP simulado</x:v>
      </x:c>
      <x:c r="G608" s="23" t="str">
        <x:v>Actual</x:v>
      </x:c>
      <x:c r="H608" s="23" t="str">
        <x:v>EUR</x:v>
      </x:c>
    </x:row>
    <x:row r="609">
      <x:c r="A609" s="23" t="str">
        <x:v>2026-12</x:v>
      </x:c>
      <x:c r="B609" s="23" t="str">
        <x:v>2026-12-31</x:v>
      </x:c>
      <x:c r="C609" s="23" t="str">
        <x:v>6200</x:v>
      </x:c>
      <x:c r="D609" s="23" t="str">
        <x:v>Deterioros</x:v>
      </x:c>
      <x:c r="E609" s="24" t="n">
        <x:v>0</x:v>
      </x:c>
      <x:c r="F609" s="23" t="str">
        <x:v>ERP simulado</x:v>
      </x:c>
      <x:c r="G609" s="23" t="str">
        <x:v>Actual</x:v>
      </x:c>
      <x:c r="H609" s="23" t="str">
        <x:v>EUR</x:v>
      </x:c>
    </x:row>
    <x:row r="610">
      <x:c r="A610" s="23" t="str">
        <x:v>2026-12</x:v>
      </x:c>
      <x:c r="B610" s="23" t="str">
        <x:v>2026-12-31</x:v>
      </x:c>
      <x:c r="C610" s="23" t="str">
        <x:v>6300</x:v>
      </x:c>
      <x:c r="D610" s="23" t="str">
        <x:v>Resultado por venta de activos</x:v>
      </x:c>
      <x:c r="E610" s="24" t="n">
        <x:v>0</x:v>
      </x:c>
      <x:c r="F610" s="23" t="str">
        <x:v>ERP simulado</x:v>
      </x:c>
      <x:c r="G610" s="23" t="str">
        <x:v>Actual</x:v>
      </x:c>
      <x:c r="H610" s="23" t="str">
        <x:v>EUR</x:v>
      </x:c>
    </x:row>
    <x:row r="611">
      <x:c r="A611" s="23" t="str">
        <x:v>2026-12</x:v>
      </x:c>
      <x:c r="B611" s="23" t="str">
        <x:v>2026-12-31</x:v>
      </x:c>
      <x:c r="C611" s="23" t="str">
        <x:v>7000</x:v>
      </x:c>
      <x:c r="D611" s="23" t="str">
        <x:v>Gastos financieros</x:v>
      </x:c>
      <x:c r="E611" s="24" t="n">
        <x:v>-36000</x:v>
      </x:c>
      <x:c r="F611" s="23" t="str">
        <x:v>ERP simulado</x:v>
      </x:c>
      <x:c r="G611" s="23" t="str">
        <x:v>Actual</x:v>
      </x:c>
      <x:c r="H611" s="23" t="str">
        <x:v>EUR</x:v>
      </x:c>
    </x:row>
    <x:row r="612">
      <x:c r="A612" s="23" t="str">
        <x:v>2026-12</x:v>
      </x:c>
      <x:c r="B612" s="23" t="str">
        <x:v>2026-12-31</x:v>
      </x:c>
      <x:c r="C612" s="23" t="str">
        <x:v>7100</x:v>
      </x:c>
      <x:c r="D612" s="23" t="str">
        <x:v>Ingresos financieros</x:v>
      </x:c>
      <x:c r="E612" s="24" t="n">
        <x:v>6701</x:v>
      </x:c>
      <x:c r="F612" s="23" t="str">
        <x:v>ERP simulado</x:v>
      </x:c>
      <x:c r="G612" s="23" t="str">
        <x:v>Actual</x:v>
      </x:c>
      <x:c r="H612" s="23" t="str">
        <x:v>EUR</x:v>
      </x:c>
    </x:row>
    <x:row r="613">
      <x:c r="A613" s="23" t="str">
        <x:v>2026-12</x:v>
      </x:c>
      <x:c r="B613" s="23" t="str">
        <x:v>2026-12-31</x:v>
      </x:c>
      <x:c r="C613" s="23" t="str">
        <x:v>8000</x:v>
      </x:c>
      <x:c r="D613" s="23" t="str">
        <x:v>Impuesto sobre beneficios</x:v>
      </x:c>
      <x:c r="E613" s="24" t="n">
        <x:v>-134897</x:v>
      </x:c>
      <x:c r="F613" s="23" t="str">
        <x:v>ERP simulado</x:v>
      </x:c>
      <x:c r="G613" s="23" t="str">
        <x:v>Actual</x:v>
      </x:c>
      <x:c r="H613" s="23" t="str">
        <x:v>EUR</x:v>
      </x:c>
    </x:row>
  </x:sheetData>
  <x:pageMargins left="0.7" right="0.7" top="0.75" bottom="0.75" header="0.3" footer="0.3"/>
  <x:tableParts count="1">
    <x:tablePart xmlns:r="http://schemas.openxmlformats.org/officeDocument/2006/relationships" r:id="Rc1f284d4f55d417e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13" hidden="0" customWidth="1"/>
    <x:col min="3" max="3" width="12" hidden="0" customWidth="1"/>
    <x:col min="4" max="4" width="35" hidden="0" customWidth="1"/>
    <x:col min="5" max="5" width="11" hidden="0" customWidth="1"/>
    <x:col min="6" max="6" width="10.4399995803833" hidden="0" customWidth="1"/>
    <x:col min="7" max="7" width="7.329999923706055" hidden="0" customWidth="1"/>
    <x:col min="8" max="8" width="7.670000076293945" hidden="0" customWidth="1"/>
  </x:cols>
  <x:sheetData>
    <x:row r="1" ht="26" customHeight="1">
      <x:c r="A1" s="11" t="str">
        <x:v>Period_Key</x:v>
      </x:c>
      <x:c r="B1" s="11" t="str">
        <x:v>Month_End</x:v>
      </x:c>
      <x:c r="C1" s="11" t="str">
        <x:v>Account_Code</x:v>
      </x:c>
      <x:c r="D1" s="11" t="str">
        <x:v>Account_Name</x:v>
      </x:c>
      <x:c r="E1" s="11" t="str">
        <x:v>Amount_EUR</x:v>
      </x:c>
      <x:c r="F1" s="11" t="str">
        <x:v>Data_Source</x:v>
      </x:c>
      <x:c r="G1" s="11" t="str">
        <x:v>Scenario</x:v>
      </x:c>
      <x:c r="H1" s="11" t="str">
        <x:v>Currency</x:v>
      </x:c>
    </x:row>
    <x:row r="2">
      <x:c r="A2" s="23" t="str">
        <x:v>2023-12</x:v>
      </x:c>
      <x:c r="B2" s="23" t="str">
        <x:v>2023-12-31</x:v>
      </x:c>
      <x:c r="C2" s="23" t="str">
        <x:v>1000</x:v>
      </x:c>
      <x:c r="D2" s="23" t="str">
        <x:v>Efectivo y equivalentes</x:v>
      </x:c>
      <x:c r="E2" s="24" t="n">
        <x:v>3000000</x:v>
      </x:c>
      <x:c r="F2" s="23" t="str">
        <x:v>ERP simulado</x:v>
      </x:c>
      <x:c r="G2" s="23" t="str">
        <x:v>Apertura</x:v>
      </x:c>
      <x:c r="H2" s="23" t="str">
        <x:v>EUR</x:v>
      </x:c>
    </x:row>
    <x:row r="3">
      <x:c r="A3" s="23" t="str">
        <x:v>2023-12</x:v>
      </x:c>
      <x:c r="B3" s="23" t="str">
        <x:v>2023-12-31</x:v>
      </x:c>
      <x:c r="C3" s="23" t="str">
        <x:v>1100</x:v>
      </x:c>
      <x:c r="D3" s="23" t="str">
        <x:v>Clientes</x:v>
      </x:c>
      <x:c r="E3" s="24" t="n">
        <x:v>4800000</x:v>
      </x:c>
      <x:c r="F3" s="23" t="str">
        <x:v>ERP simulado</x:v>
      </x:c>
      <x:c r="G3" s="23" t="str">
        <x:v>Apertura</x:v>
      </x:c>
      <x:c r="H3" s="23" t="str">
        <x:v>EUR</x:v>
      </x:c>
    </x:row>
    <x:row r="4">
      <x:c r="A4" s="23" t="str">
        <x:v>2023-12</x:v>
      </x:c>
      <x:c r="B4" s="23" t="str">
        <x:v>2023-12-31</x:v>
      </x:c>
      <x:c r="C4" s="23" t="str">
        <x:v>1200</x:v>
      </x:c>
      <x:c r="D4" s="23" t="str">
        <x:v>Existencias</x:v>
      </x:c>
      <x:c r="E4" s="24" t="n">
        <x:v>3000000</x:v>
      </x:c>
      <x:c r="F4" s="23" t="str">
        <x:v>ERP simulado</x:v>
      </x:c>
      <x:c r="G4" s="23" t="str">
        <x:v>Apertura</x:v>
      </x:c>
      <x:c r="H4" s="23" t="str">
        <x:v>EUR</x:v>
      </x:c>
    </x:row>
    <x:row r="5">
      <x:c r="A5" s="23" t="str">
        <x:v>2023-12</x:v>
      </x:c>
      <x:c r="B5" s="23" t="str">
        <x:v>2023-12-31</x:v>
      </x:c>
      <x:c r="C5" s="23" t="str">
        <x:v>1300</x:v>
      </x:c>
      <x:c r="D5" s="23" t="str">
        <x:v>Pagos anticipados y otros activos corrientes</x:v>
      </x:c>
      <x:c r="E5" s="24" t="n">
        <x:v>600000</x:v>
      </x:c>
      <x:c r="F5" s="23" t="str">
        <x:v>ERP simulado</x:v>
      </x:c>
      <x:c r="G5" s="23" t="str">
        <x:v>Apertura</x:v>
      </x:c>
      <x:c r="H5" s="23" t="str">
        <x:v>EUR</x:v>
      </x:c>
    </x:row>
    <x:row r="6">
      <x:c r="A6" s="23" t="str">
        <x:v>2023-12</x:v>
      </x:c>
      <x:c r="B6" s="23" t="str">
        <x:v>2023-12-31</x:v>
      </x:c>
      <x:c r="C6" s="23" t="str">
        <x:v>1400</x:v>
      </x:c>
      <x:c r="D6" s="23" t="str">
        <x:v>Inmovilizado material neto</x:v>
      </x:c>
      <x:c r="E6" s="24" t="n">
        <x:v>8000000</x:v>
      </x:c>
      <x:c r="F6" s="23" t="str">
        <x:v>ERP simulado</x:v>
      </x:c>
      <x:c r="G6" s="23" t="str">
        <x:v>Apertura</x:v>
      </x:c>
      <x:c r="H6" s="23" t="str">
        <x:v>EUR</x:v>
      </x:c>
    </x:row>
    <x:row r="7">
      <x:c r="A7" s="23" t="str">
        <x:v>2023-12</x:v>
      </x:c>
      <x:c r="B7" s="23" t="str">
        <x:v>2023-12-31</x:v>
      </x:c>
      <x:c r="C7" s="23" t="str">
        <x:v>1500</x:v>
      </x:c>
      <x:c r="D7" s="23" t="str">
        <x:v>Activos intangibles netos</x:v>
      </x:c>
      <x:c r="E7" s="24" t="n">
        <x:v>1200000</x:v>
      </x:c>
      <x:c r="F7" s="23" t="str">
        <x:v>ERP simulado</x:v>
      </x:c>
      <x:c r="G7" s="23" t="str">
        <x:v>Apertura</x:v>
      </x:c>
      <x:c r="H7" s="23" t="str">
        <x:v>EUR</x:v>
      </x:c>
    </x:row>
    <x:row r="8">
      <x:c r="A8" s="23" t="str">
        <x:v>2023-12</x:v>
      </x:c>
      <x:c r="B8" s="23" t="str">
        <x:v>2023-12-31</x:v>
      </x:c>
      <x:c r="C8" s="23" t="str">
        <x:v>1600</x:v>
      </x:c>
      <x:c r="D8" s="23" t="str">
        <x:v>Otros activos no corrientes</x:v>
      </x:c>
      <x:c r="E8" s="24" t="n">
        <x:v>800000</x:v>
      </x:c>
      <x:c r="F8" s="23" t="str">
        <x:v>ERP simulado</x:v>
      </x:c>
      <x:c r="G8" s="23" t="str">
        <x:v>Apertura</x:v>
      </x:c>
      <x:c r="H8" s="23" t="str">
        <x:v>EUR</x:v>
      </x:c>
    </x:row>
    <x:row r="9">
      <x:c r="A9" s="23" t="str">
        <x:v>2023-12</x:v>
      </x:c>
      <x:c r="B9" s="23" t="str">
        <x:v>2023-12-31</x:v>
      </x:c>
      <x:c r="C9" s="23" t="str">
        <x:v>2000</x:v>
      </x:c>
      <x:c r="D9" s="23" t="str">
        <x:v>Proveedores</x:v>
      </x:c>
      <x:c r="E9" s="24" t="n">
        <x:v>3000000</x:v>
      </x:c>
      <x:c r="F9" s="23" t="str">
        <x:v>ERP simulado</x:v>
      </x:c>
      <x:c r="G9" s="23" t="str">
        <x:v>Apertura</x:v>
      </x:c>
      <x:c r="H9" s="23" t="str">
        <x:v>EUR</x:v>
      </x:c>
    </x:row>
    <x:row r="10">
      <x:c r="A10" s="23" t="str">
        <x:v>2023-12</x:v>
      </x:c>
      <x:c r="B10" s="23" t="str">
        <x:v>2023-12-31</x:v>
      </x:c>
      <x:c r="C10" s="23" t="str">
        <x:v>2100</x:v>
      </x:c>
      <x:c r="D10" s="23" t="str">
        <x:v>Acreedores y gastos devengados</x:v>
      </x:c>
      <x:c r="E10" s="24" t="n">
        <x:v>1000000</x:v>
      </x:c>
      <x:c r="F10" s="23" t="str">
        <x:v>ERP simulado</x:v>
      </x:c>
      <x:c r="G10" s="23" t="str">
        <x:v>Apertura</x:v>
      </x:c>
      <x:c r="H10" s="23" t="str">
        <x:v>EUR</x:v>
      </x:c>
    </x:row>
    <x:row r="11">
      <x:c r="A11" s="23" t="str">
        <x:v>2023-12</x:v>
      </x:c>
      <x:c r="B11" s="23" t="str">
        <x:v>2023-12-31</x:v>
      </x:c>
      <x:c r="C11" s="23" t="str">
        <x:v>2200</x:v>
      </x:c>
      <x:c r="D11" s="23" t="str">
        <x:v>Impuestos a pagar</x:v>
      </x:c>
      <x:c r="E11" s="24" t="n">
        <x:v>400000</x:v>
      </x:c>
      <x:c r="F11" s="23" t="str">
        <x:v>ERP simulado</x:v>
      </x:c>
      <x:c r="G11" s="23" t="str">
        <x:v>Apertura</x:v>
      </x:c>
      <x:c r="H11" s="23" t="str">
        <x:v>EUR</x:v>
      </x:c>
    </x:row>
    <x:row r="12">
      <x:c r="A12" s="23" t="str">
        <x:v>2023-12</x:v>
      </x:c>
      <x:c r="B12" s="23" t="str">
        <x:v>2023-12-31</x:v>
      </x:c>
      <x:c r="C12" s="23" t="str">
        <x:v>2300</x:v>
      </x:c>
      <x:c r="D12" s="23" t="str">
        <x:v>Deuda financiera corriente</x:v>
      </x:c>
      <x:c r="E12" s="24" t="n">
        <x:v>1200000</x:v>
      </x:c>
      <x:c r="F12" s="23" t="str">
        <x:v>ERP simulado</x:v>
      </x:c>
      <x:c r="G12" s="23" t="str">
        <x:v>Apertura</x:v>
      </x:c>
      <x:c r="H12" s="23" t="str">
        <x:v>EUR</x:v>
      </x:c>
    </x:row>
    <x:row r="13">
      <x:c r="A13" s="23" t="str">
        <x:v>2023-12</x:v>
      </x:c>
      <x:c r="B13" s="23" t="str">
        <x:v>2023-12-31</x:v>
      </x:c>
      <x:c r="C13" s="23" t="str">
        <x:v>2400</x:v>
      </x:c>
      <x:c r="D13" s="23" t="str">
        <x:v>Pasivos por arrendamiento corrientes</x:v>
      </x:c>
      <x:c r="E13" s="24" t="n">
        <x:v>300000</x:v>
      </x:c>
      <x:c r="F13" s="23" t="str">
        <x:v>ERP simulado</x:v>
      </x:c>
      <x:c r="G13" s="23" t="str">
        <x:v>Apertura</x:v>
      </x:c>
      <x:c r="H13" s="23" t="str">
        <x:v>EUR</x:v>
      </x:c>
    </x:row>
    <x:row r="14">
      <x:c r="A14" s="23" t="str">
        <x:v>2023-12</x:v>
      </x:c>
      <x:c r="B14" s="23" t="str">
        <x:v>2023-12-31</x:v>
      </x:c>
      <x:c r="C14" s="23" t="str">
        <x:v>2500</x:v>
      </x:c>
      <x:c r="D14" s="23" t="str">
        <x:v>Deuda financiera no corriente</x:v>
      </x:c>
      <x:c r="E14" s="24" t="n">
        <x:v>4800000</x:v>
      </x:c>
      <x:c r="F14" s="23" t="str">
        <x:v>ERP simulado</x:v>
      </x:c>
      <x:c r="G14" s="23" t="str">
        <x:v>Apertura</x:v>
      </x:c>
      <x:c r="H14" s="23" t="str">
        <x:v>EUR</x:v>
      </x:c>
    </x:row>
    <x:row r="15">
      <x:c r="A15" s="23" t="str">
        <x:v>2023-12</x:v>
      </x:c>
      <x:c r="B15" s="23" t="str">
        <x:v>2023-12-31</x:v>
      </x:c>
      <x:c r="C15" s="23" t="str">
        <x:v>2600</x:v>
      </x:c>
      <x:c r="D15" s="23" t="str">
        <x:v>Pasivos por arrendamiento no corrientes</x:v>
      </x:c>
      <x:c r="E15" s="24" t="n">
        <x:v>700000</x:v>
      </x:c>
      <x:c r="F15" s="23" t="str">
        <x:v>ERP simulado</x:v>
      </x:c>
      <x:c r="G15" s="23" t="str">
        <x:v>Apertura</x:v>
      </x:c>
      <x:c r="H15" s="23" t="str">
        <x:v>EUR</x:v>
      </x:c>
    </x:row>
    <x:row r="16">
      <x:c r="A16" s="23" t="str">
        <x:v>2023-12</x:v>
      </x:c>
      <x:c r="B16" s="23" t="str">
        <x:v>2023-12-31</x:v>
      </x:c>
      <x:c r="C16" s="23" t="str">
        <x:v>2700</x:v>
      </x:c>
      <x:c r="D16" s="23" t="str">
        <x:v>Otros pasivos</x:v>
      </x:c>
      <x:c r="E16" s="24" t="n">
        <x:v>800000</x:v>
      </x:c>
      <x:c r="F16" s="23" t="str">
        <x:v>ERP simulado</x:v>
      </x:c>
      <x:c r="G16" s="23" t="str">
        <x:v>Apertura</x:v>
      </x:c>
      <x:c r="H16" s="23" t="str">
        <x:v>EUR</x:v>
      </x:c>
    </x:row>
    <x:row r="17">
      <x:c r="A17" s="23" t="str">
        <x:v>2023-12</x:v>
      </x:c>
      <x:c r="B17" s="23" t="str">
        <x:v>2023-12-31</x:v>
      </x:c>
      <x:c r="C17" s="23" t="str">
        <x:v>3000</x:v>
      </x:c>
      <x:c r="D17" s="23" t="str">
        <x:v>Capital social</x:v>
      </x:c>
      <x:c r="E17" s="24" t="n">
        <x:v>5000000</x:v>
      </x:c>
      <x:c r="F17" s="23" t="str">
        <x:v>ERP simulado</x:v>
      </x:c>
      <x:c r="G17" s="23" t="str">
        <x:v>Apertura</x:v>
      </x:c>
      <x:c r="H17" s="23" t="str">
        <x:v>EUR</x:v>
      </x:c>
    </x:row>
    <x:row r="18">
      <x:c r="A18" s="23" t="str">
        <x:v>2023-12</x:v>
      </x:c>
      <x:c r="B18" s="23" t="str">
        <x:v>2023-12-31</x:v>
      </x:c>
      <x:c r="C18" s="23" t="str">
        <x:v>3100</x:v>
      </x:c>
      <x:c r="D18" s="23" t="str">
        <x:v>Resultados acumulados</x:v>
      </x:c>
      <x:c r="E18" s="24" t="n">
        <x:v>4200000</x:v>
      </x:c>
      <x:c r="F18" s="23" t="str">
        <x:v>ERP simulado</x:v>
      </x:c>
      <x:c r="G18" s="23" t="str">
        <x:v>Apertura</x:v>
      </x:c>
      <x:c r="H18" s="23" t="str">
        <x:v>EUR</x:v>
      </x:c>
    </x:row>
    <x:row r="19">
      <x:c r="A19" s="23" t="str">
        <x:v>2024-01</x:v>
      </x:c>
      <x:c r="B19" s="23" t="str">
        <x:v>2024-01-31</x:v>
      </x:c>
      <x:c r="C19" s="23" t="str">
        <x:v>1000</x:v>
      </x:c>
      <x:c r="D19" s="23" t="str">
        <x:v>Efectivo y equivalentes</x:v>
      </x:c>
      <x:c r="E19" s="24" t="n">
        <x:v>2608543</x:v>
      </x:c>
      <x:c r="F19" s="23" t="str">
        <x:v>ERP simulado</x:v>
      </x:c>
      <x:c r="G19" s="23" t="str">
        <x:v>Actual</x:v>
      </x:c>
      <x:c r="H19" s="23" t="str">
        <x:v>EUR</x:v>
      </x:c>
    </x:row>
    <x:row r="20">
      <x:c r="A20" s="23" t="str">
        <x:v>2024-01</x:v>
      </x:c>
      <x:c r="B20" s="23" t="str">
        <x:v>2024-01-31</x:v>
      </x:c>
      <x:c r="C20" s="23" t="str">
        <x:v>1100</x:v>
      </x:c>
      <x:c r="D20" s="23" t="str">
        <x:v>Clientes</x:v>
      </x:c>
      <x:c r="E20" s="24" t="n">
        <x:v>4630645</x:v>
      </x:c>
      <x:c r="F20" s="23" t="str">
        <x:v>ERP simulado</x:v>
      </x:c>
      <x:c r="G20" s="23" t="str">
        <x:v>Actual</x:v>
      </x:c>
      <x:c r="H20" s="23" t="str">
        <x:v>EUR</x:v>
      </x:c>
    </x:row>
    <x:row r="21">
      <x:c r="A21" s="23" t="str">
        <x:v>2024-01</x:v>
      </x:c>
      <x:c r="B21" s="23" t="str">
        <x:v>2024-01-31</x:v>
      </x:c>
      <x:c r="C21" s="23" t="str">
        <x:v>1200</x:v>
      </x:c>
      <x:c r="D21" s="23" t="str">
        <x:v>Existencias</x:v>
      </x:c>
      <x:c r="E21" s="24" t="n">
        <x:v>2787648</x:v>
      </x:c>
      <x:c r="F21" s="23" t="str">
        <x:v>ERP simulado</x:v>
      </x:c>
      <x:c r="G21" s="23" t="str">
        <x:v>Actual</x:v>
      </x:c>
      <x:c r="H21" s="23" t="str">
        <x:v>EUR</x:v>
      </x:c>
    </x:row>
    <x:row r="22">
      <x:c r="A22" s="23" t="str">
        <x:v>2024-01</x:v>
      </x:c>
      <x:c r="B22" s="23" t="str">
        <x:v>2024-01-31</x:v>
      </x:c>
      <x:c r="C22" s="23" t="str">
        <x:v>1300</x:v>
      </x:c>
      <x:c r="D22" s="23" t="str">
        <x:v>Pagos anticipados y otros activos corrientes</x:v>
      </x:c>
      <x:c r="E22" s="24" t="n">
        <x:v>548100</x:v>
      </x:c>
      <x:c r="F22" s="23" t="str">
        <x:v>ERP simulado</x:v>
      </x:c>
      <x:c r="G22" s="23" t="str">
        <x:v>Actual</x:v>
      </x:c>
      <x:c r="H22" s="23" t="str">
        <x:v>EUR</x:v>
      </x:c>
    </x:row>
    <x:row r="23">
      <x:c r="A23" s="23" t="str">
        <x:v>2024-01</x:v>
      </x:c>
      <x:c r="B23" s="23" t="str">
        <x:v>2024-01-31</x:v>
      </x:c>
      <x:c r="C23" s="23" t="str">
        <x:v>1400</x:v>
      </x:c>
      <x:c r="D23" s="23" t="str">
        <x:v>Inmovilizado material neto</x:v>
      </x:c>
      <x:c r="E23" s="24" t="n">
        <x:v>8035000</x:v>
      </x:c>
      <x:c r="F23" s="23" t="str">
        <x:v>ERP simulado</x:v>
      </x:c>
      <x:c r="G23" s="23" t="str">
        <x:v>Actual</x:v>
      </x:c>
      <x:c r="H23" s="23" t="str">
        <x:v>EUR</x:v>
      </x:c>
    </x:row>
    <x:row r="24">
      <x:c r="A24" s="23" t="str">
        <x:v>2024-01</x:v>
      </x:c>
      <x:c r="B24" s="23" t="str">
        <x:v>2024-01-31</x:v>
      </x:c>
      <x:c r="C24" s="23" t="str">
        <x:v>1500</x:v>
      </x:c>
      <x:c r="D24" s="23" t="str">
        <x:v>Activos intangibles netos</x:v>
      </x:c>
      <x:c r="E24" s="24" t="n">
        <x:v>1193000</x:v>
      </x:c>
      <x:c r="F24" s="23" t="str">
        <x:v>ERP simulado</x:v>
      </x:c>
      <x:c r="G24" s="23" t="str">
        <x:v>Actual</x:v>
      </x:c>
      <x:c r="H24" s="23" t="str">
        <x:v>EUR</x:v>
      </x:c>
    </x:row>
    <x:row r="25">
      <x:c r="A25" s="23" t="str">
        <x:v>2024-01</x:v>
      </x:c>
      <x:c r="B25" s="23" t="str">
        <x:v>2024-01-31</x:v>
      </x:c>
      <x:c r="C25" s="23" t="str">
        <x:v>1600</x:v>
      </x:c>
      <x:c r="D25" s="23" t="str">
        <x:v>Otros activos no corrientes</x:v>
      </x:c>
      <x:c r="E25" s="24" t="n">
        <x:v>800000</x:v>
      </x:c>
      <x:c r="F25" s="23" t="str">
        <x:v>ERP simulado</x:v>
      </x:c>
      <x:c r="G25" s="23" t="str">
        <x:v>Actual</x:v>
      </x:c>
      <x:c r="H25" s="23" t="str">
        <x:v>EUR</x:v>
      </x:c>
    </x:row>
    <x:row r="26">
      <x:c r="A26" s="23" t="str">
        <x:v>2024-01</x:v>
      </x:c>
      <x:c r="B26" s="23" t="str">
        <x:v>2024-01-31</x:v>
      </x:c>
      <x:c r="C26" s="23" t="str">
        <x:v>2000</x:v>
      </x:c>
      <x:c r="D26" s="23" t="str">
        <x:v>Proveedores</x:v>
      </x:c>
      <x:c r="E26" s="24" t="n">
        <x:v>2534226</x:v>
      </x:c>
      <x:c r="F26" s="23" t="str">
        <x:v>ERP simulado</x:v>
      </x:c>
      <x:c r="G26" s="23" t="str">
        <x:v>Actual</x:v>
      </x:c>
      <x:c r="H26" s="23" t="str">
        <x:v>EUR</x:v>
      </x:c>
    </x:row>
    <x:row r="27">
      <x:c r="A27" s="23" t="str">
        <x:v>2024-01</x:v>
      </x:c>
      <x:c r="B27" s="23" t="str">
        <x:v>2024-01-31</x:v>
      </x:c>
      <x:c r="C27" s="23" t="str">
        <x:v>2100</x:v>
      </x:c>
      <x:c r="D27" s="23" t="str">
        <x:v>Acreedores y gastos devengados</x:v>
      </x:c>
      <x:c r="E27" s="24" t="n">
        <x:v>783000</x:v>
      </x:c>
      <x:c r="F27" s="23" t="str">
        <x:v>ERP simulado</x:v>
      </x:c>
      <x:c r="G27" s="23" t="str">
        <x:v>Actual</x:v>
      </x:c>
      <x:c r="H27" s="23" t="str">
        <x:v>EUR</x:v>
      </x:c>
    </x:row>
    <x:row r="28">
      <x:c r="A28" s="23" t="str">
        <x:v>2024-01</x:v>
      </x:c>
      <x:c r="B28" s="23" t="str">
        <x:v>2024-01-31</x:v>
      </x:c>
      <x:c r="C28" s="23" t="str">
        <x:v>2200</x:v>
      </x:c>
      <x:c r="D28" s="23" t="str">
        <x:v>Impuestos a pagar</x:v>
      </x:c>
      <x:c r="E28" s="24" t="n">
        <x:v>96428</x:v>
      </x:c>
      <x:c r="F28" s="23" t="str">
        <x:v>ERP simulado</x:v>
      </x:c>
      <x:c r="G28" s="23" t="str">
        <x:v>Actual</x:v>
      </x:c>
      <x:c r="H28" s="23" t="str">
        <x:v>EUR</x:v>
      </x:c>
    </x:row>
    <x:row r="29">
      <x:c r="A29" s="23" t="str">
        <x:v>2024-01</x:v>
      </x:c>
      <x:c r="B29" s="23" t="str">
        <x:v>2024-01-31</x:v>
      </x:c>
      <x:c r="C29" s="23" t="str">
        <x:v>2300</x:v>
      </x:c>
      <x:c r="D29" s="23" t="str">
        <x:v>Deuda financiera corriente</x:v>
      </x:c>
      <x:c r="E29" s="24" t="n">
        <x:v>1200000</x:v>
      </x:c>
      <x:c r="F29" s="23" t="str">
        <x:v>ERP simulado</x:v>
      </x:c>
      <x:c r="G29" s="23" t="str">
        <x:v>Actual</x:v>
      </x:c>
      <x:c r="H29" s="23" t="str">
        <x:v>EUR</x:v>
      </x:c>
    </x:row>
    <x:row r="30">
      <x:c r="A30" s="23" t="str">
        <x:v>2024-01</x:v>
      </x:c>
      <x:c r="B30" s="23" t="str">
        <x:v>2024-01-31</x:v>
      </x:c>
      <x:c r="C30" s="23" t="str">
        <x:v>2400</x:v>
      </x:c>
      <x:c r="D30" s="23" t="str">
        <x:v>Pasivos por arrendamiento corrientes</x:v>
      </x:c>
      <x:c r="E30" s="24" t="n">
        <x:v>292500</x:v>
      </x:c>
      <x:c r="F30" s="23" t="str">
        <x:v>ERP simulado</x:v>
      </x:c>
      <x:c r="G30" s="23" t="str">
        <x:v>Actual</x:v>
      </x:c>
      <x:c r="H30" s="23" t="str">
        <x:v>EUR</x:v>
      </x:c>
    </x:row>
    <x:row r="31">
      <x:c r="A31" s="23" t="str">
        <x:v>2024-01</x:v>
      </x:c>
      <x:c r="B31" s="23" t="str">
        <x:v>2024-01-31</x:v>
      </x:c>
      <x:c r="C31" s="23" t="str">
        <x:v>2500</x:v>
      </x:c>
      <x:c r="D31" s="23" t="str">
        <x:v>Deuda financiera no corriente</x:v>
      </x:c>
      <x:c r="E31" s="24" t="n">
        <x:v>4800000</x:v>
      </x:c>
      <x:c r="F31" s="23" t="str">
        <x:v>ERP simulado</x:v>
      </x:c>
      <x:c r="G31" s="23" t="str">
        <x:v>Actual</x:v>
      </x:c>
      <x:c r="H31" s="23" t="str">
        <x:v>EUR</x:v>
      </x:c>
    </x:row>
    <x:row r="32">
      <x:c r="A32" s="23" t="str">
        <x:v>2024-01</x:v>
      </x:c>
      <x:c r="B32" s="23" t="str">
        <x:v>2024-01-31</x:v>
      </x:c>
      <x:c r="C32" s="23" t="str">
        <x:v>2600</x:v>
      </x:c>
      <x:c r="D32" s="23" t="str">
        <x:v>Pasivos por arrendamiento no corrientes</x:v>
      </x:c>
      <x:c r="E32" s="24" t="n">
        <x:v>682500</x:v>
      </x:c>
      <x:c r="F32" s="23" t="str">
        <x:v>ERP simulado</x:v>
      </x:c>
      <x:c r="G32" s="23" t="str">
        <x:v>Actual</x:v>
      </x:c>
      <x:c r="H32" s="23" t="str">
        <x:v>EUR</x:v>
      </x:c>
    </x:row>
    <x:row r="33">
      <x:c r="A33" s="23" t="str">
        <x:v>2024-01</x:v>
      </x:c>
      <x:c r="B33" s="23" t="str">
        <x:v>2024-01-31</x:v>
      </x:c>
      <x:c r="C33" s="23" t="str">
        <x:v>2700</x:v>
      </x:c>
      <x:c r="D33" s="23" t="str">
        <x:v>Otros pasivos</x:v>
      </x:c>
      <x:c r="E33" s="24" t="n">
        <x:v>800000</x:v>
      </x:c>
      <x:c r="F33" s="23" t="str">
        <x:v>ERP simulado</x:v>
      </x:c>
      <x:c r="G33" s="23" t="str">
        <x:v>Actual</x:v>
      </x:c>
      <x:c r="H33" s="23" t="str">
        <x:v>EUR</x:v>
      </x:c>
    </x:row>
    <x:row r="34">
      <x:c r="A34" s="23" t="str">
        <x:v>2024-01</x:v>
      </x:c>
      <x:c r="B34" s="23" t="str">
        <x:v>2024-01-31</x:v>
      </x:c>
      <x:c r="C34" s="23" t="str">
        <x:v>3000</x:v>
      </x:c>
      <x:c r="D34" s="23" t="str">
        <x:v>Capital social</x:v>
      </x:c>
      <x:c r="E34" s="24" t="n">
        <x:v>5000000</x:v>
      </x:c>
      <x:c r="F34" s="23" t="str">
        <x:v>ERP simulado</x:v>
      </x:c>
      <x:c r="G34" s="23" t="str">
        <x:v>Actual</x:v>
      </x:c>
      <x:c r="H34" s="23" t="str">
        <x:v>EUR</x:v>
      </x:c>
    </x:row>
    <x:row r="35">
      <x:c r="A35" s="23" t="str">
        <x:v>2024-01</x:v>
      </x:c>
      <x:c r="B35" s="23" t="str">
        <x:v>2024-01-31</x:v>
      </x:c>
      <x:c r="C35" s="23" t="str">
        <x:v>3100</x:v>
      </x:c>
      <x:c r="D35" s="23" t="str">
        <x:v>Resultados acumulados</x:v>
      </x:c>
      <x:c r="E35" s="24" t="n">
        <x:v>4414282</x:v>
      </x:c>
      <x:c r="F35" s="23" t="str">
        <x:v>ERP simulado</x:v>
      </x:c>
      <x:c r="G35" s="23" t="str">
        <x:v>Actual</x:v>
      </x:c>
      <x:c r="H35" s="23" t="str">
        <x:v>EUR</x:v>
      </x:c>
    </x:row>
    <x:row r="36">
      <x:c r="A36" s="23" t="str">
        <x:v>2024-02</x:v>
      </x:c>
      <x:c r="B36" s="23" t="str">
        <x:v>2024-02-29</x:v>
      </x:c>
      <x:c r="C36" s="23" t="str">
        <x:v>1000</x:v>
      </x:c>
      <x:c r="D36" s="23" t="str">
        <x:v>Efectivo y equivalentes</x:v>
      </x:c>
      <x:c r="E36" s="24" t="n">
        <x:v>2222245</x:v>
      </x:c>
      <x:c r="F36" s="23" t="str">
        <x:v>ERP simulado</x:v>
      </x:c>
      <x:c r="G36" s="23" t="str">
        <x:v>Actual</x:v>
      </x:c>
      <x:c r="H36" s="23" t="str">
        <x:v>EUR</x:v>
      </x:c>
    </x:row>
    <x:row r="37">
      <x:c r="A37" s="23" t="str">
        <x:v>2024-02</x:v>
      </x:c>
      <x:c r="B37" s="23" t="str">
        <x:v>2024-02-29</x:v>
      </x:c>
      <x:c r="C37" s="23" t="str">
        <x:v>1100</x:v>
      </x:c>
      <x:c r="D37" s="23" t="str">
        <x:v>Clientes</x:v>
      </x:c>
      <x:c r="E37" s="24" t="n">
        <x:v>5191983</x:v>
      </x:c>
      <x:c r="F37" s="23" t="str">
        <x:v>ERP simulado</x:v>
      </x:c>
      <x:c r="G37" s="23" t="str">
        <x:v>Actual</x:v>
      </x:c>
      <x:c r="H37" s="23" t="str">
        <x:v>EUR</x:v>
      </x:c>
    </x:row>
    <x:row r="38">
      <x:c r="A38" s="23" t="str">
        <x:v>2024-02</x:v>
      </x:c>
      <x:c r="B38" s="23" t="str">
        <x:v>2024-02-29</x:v>
      </x:c>
      <x:c r="C38" s="23" t="str">
        <x:v>1200</x:v>
      </x:c>
      <x:c r="D38" s="23" t="str">
        <x:v>Existencias</x:v>
      </x:c>
      <x:c r="E38" s="24" t="n">
        <x:v>3094336</x:v>
      </x:c>
      <x:c r="F38" s="23" t="str">
        <x:v>ERP simulado</x:v>
      </x:c>
      <x:c r="G38" s="23" t="str">
        <x:v>Actual</x:v>
      </x:c>
      <x:c r="H38" s="23" t="str">
        <x:v>EUR</x:v>
      </x:c>
    </x:row>
    <x:row r="39">
      <x:c r="A39" s="23" t="str">
        <x:v>2024-02</x:v>
      </x:c>
      <x:c r="B39" s="23" t="str">
        <x:v>2024-02-29</x:v>
      </x:c>
      <x:c r="C39" s="23" t="str">
        <x:v>1300</x:v>
      </x:c>
      <x:c r="D39" s="23" t="str">
        <x:v>Pagos anticipados y otros activos corrientes</x:v>
      </x:c>
      <x:c r="E39" s="24" t="n">
        <x:v>569768</x:v>
      </x:c>
      <x:c r="F39" s="23" t="str">
        <x:v>ERP simulado</x:v>
      </x:c>
      <x:c r="G39" s="23" t="str">
        <x:v>Actual</x:v>
      </x:c>
      <x:c r="H39" s="23" t="str">
        <x:v>EUR</x:v>
      </x:c>
    </x:row>
    <x:row r="40">
      <x:c r="A40" s="23" t="str">
        <x:v>2024-02</x:v>
      </x:c>
      <x:c r="B40" s="23" t="str">
        <x:v>2024-02-29</x:v>
      </x:c>
      <x:c r="C40" s="23" t="str">
        <x:v>1400</x:v>
      </x:c>
      <x:c r="D40" s="23" t="str">
        <x:v>Inmovilizado material neto</x:v>
      </x:c>
      <x:c r="E40" s="24" t="n">
        <x:v>8075680</x:v>
      </x:c>
      <x:c r="F40" s="23" t="str">
        <x:v>ERP simulado</x:v>
      </x:c>
      <x:c r="G40" s="23" t="str">
        <x:v>Actual</x:v>
      </x:c>
      <x:c r="H40" s="23" t="str">
        <x:v>EUR</x:v>
      </x:c>
    </x:row>
    <x:row r="41">
      <x:c r="A41" s="23" t="str">
        <x:v>2024-02</x:v>
      </x:c>
      <x:c r="B41" s="23" t="str">
        <x:v>2024-02-29</x:v>
      </x:c>
      <x:c r="C41" s="23" t="str">
        <x:v>1500</x:v>
      </x:c>
      <x:c r="D41" s="23" t="str">
        <x:v>Activos intangibles netos</x:v>
      </x:c>
      <x:c r="E41" s="24" t="n">
        <x:v>1185650</x:v>
      </x:c>
      <x:c r="F41" s="23" t="str">
        <x:v>ERP simulado</x:v>
      </x:c>
      <x:c r="G41" s="23" t="str">
        <x:v>Actual</x:v>
      </x:c>
      <x:c r="H41" s="23" t="str">
        <x:v>EUR</x:v>
      </x:c>
    </x:row>
    <x:row r="42">
      <x:c r="A42" s="23" t="str">
        <x:v>2024-02</x:v>
      </x:c>
      <x:c r="B42" s="23" t="str">
        <x:v>2024-02-29</x:v>
      </x:c>
      <x:c r="C42" s="23" t="str">
        <x:v>1600</x:v>
      </x:c>
      <x:c r="D42" s="23" t="str">
        <x:v>Otros activos no corrientes</x:v>
      </x:c>
      <x:c r="E42" s="24" t="n">
        <x:v>800000</x:v>
      </x:c>
      <x:c r="F42" s="23" t="str">
        <x:v>ERP simulado</x:v>
      </x:c>
      <x:c r="G42" s="23" t="str">
        <x:v>Actual</x:v>
      </x:c>
      <x:c r="H42" s="23" t="str">
        <x:v>EUR</x:v>
      </x:c>
    </x:row>
    <x:row r="43">
      <x:c r="A43" s="23" t="str">
        <x:v>2024-02</x:v>
      </x:c>
      <x:c r="B43" s="23" t="str">
        <x:v>2024-02-29</x:v>
      </x:c>
      <x:c r="C43" s="23" t="str">
        <x:v>2000</x:v>
      </x:c>
      <x:c r="D43" s="23" t="str">
        <x:v>Proveedores</x:v>
      </x:c>
      <x:c r="E43" s="24" t="n">
        <x:v>2834782</x:v>
      </x:c>
      <x:c r="F43" s="23" t="str">
        <x:v>ERP simulado</x:v>
      </x:c>
      <x:c r="G43" s="23" t="str">
        <x:v>Actual</x:v>
      </x:c>
      <x:c r="H43" s="23" t="str">
        <x:v>EUR</x:v>
      </x:c>
    </x:row>
    <x:row r="44">
      <x:c r="A44" s="23" t="str">
        <x:v>2024-02</x:v>
      </x:c>
      <x:c r="B44" s="23" t="str">
        <x:v>2024-02-29</x:v>
      </x:c>
      <x:c r="C44" s="23" t="str">
        <x:v>2100</x:v>
      </x:c>
      <x:c r="D44" s="23" t="str">
        <x:v>Acreedores y gastos devengados</x:v>
      </x:c>
      <x:c r="E44" s="24" t="n">
        <x:v>813955</x:v>
      </x:c>
      <x:c r="F44" s="23" t="str">
        <x:v>ERP simulado</x:v>
      </x:c>
      <x:c r="G44" s="23" t="str">
        <x:v>Actual</x:v>
      </x:c>
      <x:c r="H44" s="23" t="str">
        <x:v>EUR</x:v>
      </x:c>
    </x:row>
    <x:row r="45">
      <x:c r="A45" s="23" t="str">
        <x:v>2024-02</x:v>
      </x:c>
      <x:c r="B45" s="23" t="str">
        <x:v>2024-02-29</x:v>
      </x:c>
      <x:c r="C45" s="23" t="str">
        <x:v>2200</x:v>
      </x:c>
      <x:c r="D45" s="23" t="str">
        <x:v>Impuestos a pagar</x:v>
      </x:c>
      <x:c r="E45" s="24" t="n">
        <x:v>101372</x:v>
      </x:c>
      <x:c r="F45" s="23" t="str">
        <x:v>ERP simulado</x:v>
      </x:c>
      <x:c r="G45" s="23" t="str">
        <x:v>Actual</x:v>
      </x:c>
      <x:c r="H45" s="23" t="str">
        <x:v>EUR</x:v>
      </x:c>
    </x:row>
    <x:row r="46">
      <x:c r="A46" s="23" t="str">
        <x:v>2024-02</x:v>
      </x:c>
      <x:c r="B46" s="23" t="str">
        <x:v>2024-02-29</x:v>
      </x:c>
      <x:c r="C46" s="23" t="str">
        <x:v>2300</x:v>
      </x:c>
      <x:c r="D46" s="23" t="str">
        <x:v>Deuda financiera corriente</x:v>
      </x:c>
      <x:c r="E46" s="24" t="n">
        <x:v>1200000</x:v>
      </x:c>
      <x:c r="F46" s="23" t="str">
        <x:v>ERP simulado</x:v>
      </x:c>
      <x:c r="G46" s="23" t="str">
        <x:v>Actual</x:v>
      </x:c>
      <x:c r="H46" s="23" t="str">
        <x:v>EUR</x:v>
      </x:c>
    </x:row>
    <x:row r="47">
      <x:c r="A47" s="23" t="str">
        <x:v>2024-02</x:v>
      </x:c>
      <x:c r="B47" s="23" t="str">
        <x:v>2024-02-29</x:v>
      </x:c>
      <x:c r="C47" s="23" t="str">
        <x:v>2400</x:v>
      </x:c>
      <x:c r="D47" s="23" t="str">
        <x:v>Pasivos por arrendamiento corrientes</x:v>
      </x:c>
      <x:c r="E47" s="24" t="n">
        <x:v>285000</x:v>
      </x:c>
      <x:c r="F47" s="23" t="str">
        <x:v>ERP simulado</x:v>
      </x:c>
      <x:c r="G47" s="23" t="str">
        <x:v>Actual</x:v>
      </x:c>
      <x:c r="H47" s="23" t="str">
        <x:v>EUR</x:v>
      </x:c>
    </x:row>
    <x:row r="48">
      <x:c r="A48" s="23" t="str">
        <x:v>2024-02</x:v>
      </x:c>
      <x:c r="B48" s="23" t="str">
        <x:v>2024-02-29</x:v>
      </x:c>
      <x:c r="C48" s="23" t="str">
        <x:v>2500</x:v>
      </x:c>
      <x:c r="D48" s="23" t="str">
        <x:v>Deuda financiera no corriente</x:v>
      </x:c>
      <x:c r="E48" s="24" t="n">
        <x:v>4800000</x:v>
      </x:c>
      <x:c r="F48" s="23" t="str">
        <x:v>ERP simulado</x:v>
      </x:c>
      <x:c r="G48" s="23" t="str">
        <x:v>Actual</x:v>
      </x:c>
      <x:c r="H48" s="23" t="str">
        <x:v>EUR</x:v>
      </x:c>
    </x:row>
    <x:row r="49">
      <x:c r="A49" s="23" t="str">
        <x:v>2024-02</x:v>
      </x:c>
      <x:c r="B49" s="23" t="str">
        <x:v>2024-02-29</x:v>
      </x:c>
      <x:c r="C49" s="23" t="str">
        <x:v>2600</x:v>
      </x:c>
      <x:c r="D49" s="23" t="str">
        <x:v>Pasivos por arrendamiento no corrientes</x:v>
      </x:c>
      <x:c r="E49" s="24" t="n">
        <x:v>665000</x:v>
      </x:c>
      <x:c r="F49" s="23" t="str">
        <x:v>ERP simulado</x:v>
      </x:c>
      <x:c r="G49" s="23" t="str">
        <x:v>Actual</x:v>
      </x:c>
      <x:c r="H49" s="23" t="str">
        <x:v>EUR</x:v>
      </x:c>
    </x:row>
    <x:row r="50">
      <x:c r="A50" s="23" t="str">
        <x:v>2024-02</x:v>
      </x:c>
      <x:c r="B50" s="23" t="str">
        <x:v>2024-02-29</x:v>
      </x:c>
      <x:c r="C50" s="23" t="str">
        <x:v>2700</x:v>
      </x:c>
      <x:c r="D50" s="23" t="str">
        <x:v>Otros pasivos</x:v>
      </x:c>
      <x:c r="E50" s="24" t="n">
        <x:v>800000</x:v>
      </x:c>
      <x:c r="F50" s="23" t="str">
        <x:v>ERP simulado</x:v>
      </x:c>
      <x:c r="G50" s="23" t="str">
        <x:v>Actual</x:v>
      </x:c>
      <x:c r="H50" s="23" t="str">
        <x:v>EUR</x:v>
      </x:c>
    </x:row>
    <x:row r="51">
      <x:c r="A51" s="23" t="str">
        <x:v>2024-02</x:v>
      </x:c>
      <x:c r="B51" s="23" t="str">
        <x:v>2024-02-29</x:v>
      </x:c>
      <x:c r="C51" s="23" t="str">
        <x:v>3000</x:v>
      </x:c>
      <x:c r="D51" s="23" t="str">
        <x:v>Capital social</x:v>
      </x:c>
      <x:c r="E51" s="24" t="n">
        <x:v>5000000</x:v>
      </x:c>
      <x:c r="F51" s="23" t="str">
        <x:v>ERP simulado</x:v>
      </x:c>
      <x:c r="G51" s="23" t="str">
        <x:v>Actual</x:v>
      </x:c>
      <x:c r="H51" s="23" t="str">
        <x:v>EUR</x:v>
      </x:c>
    </x:row>
    <x:row r="52">
      <x:c r="A52" s="23" t="str">
        <x:v>2024-02</x:v>
      </x:c>
      <x:c r="B52" s="23" t="str">
        <x:v>2024-02-29</x:v>
      </x:c>
      <x:c r="C52" s="23" t="str">
        <x:v>3100</x:v>
      </x:c>
      <x:c r="D52" s="23" t="str">
        <x:v>Resultados acumulados</x:v>
      </x:c>
      <x:c r="E52" s="24" t="n">
        <x:v>4639553</x:v>
      </x:c>
      <x:c r="F52" s="23" t="str">
        <x:v>ERP simulado</x:v>
      </x:c>
      <x:c r="G52" s="23" t="str">
        <x:v>Actual</x:v>
      </x:c>
      <x:c r="H52" s="23" t="str">
        <x:v>EUR</x:v>
      </x:c>
    </x:row>
    <x:row r="53">
      <x:c r="A53" s="23" t="str">
        <x:v>2024-03</x:v>
      </x:c>
      <x:c r="B53" s="23" t="str">
        <x:v>2024-03-31</x:v>
      </x:c>
      <x:c r="C53" s="23" t="str">
        <x:v>1000</x:v>
      </x:c>
      <x:c r="D53" s="23" t="str">
        <x:v>Efectivo y equivalentes</x:v>
      </x:c>
      <x:c r="E53" s="24" t="n">
        <x:v>2207765</x:v>
      </x:c>
      <x:c r="F53" s="23" t="str">
        <x:v>ERP simulado</x:v>
      </x:c>
      <x:c r="G53" s="23" t="str">
        <x:v>Actual</x:v>
      </x:c>
      <x:c r="H53" s="23" t="str">
        <x:v>EUR</x:v>
      </x:c>
    </x:row>
    <x:row r="54">
      <x:c r="A54" s="23" t="str">
        <x:v>2024-03</x:v>
      </x:c>
      <x:c r="B54" s="23" t="str">
        <x:v>2024-03-31</x:v>
      </x:c>
      <x:c r="C54" s="23" t="str">
        <x:v>1100</x:v>
      </x:c>
      <x:c r="D54" s="23" t="str">
        <x:v>Clientes</x:v>
      </x:c>
      <x:c r="E54" s="24" t="n">
        <x:v>5297679</x:v>
      </x:c>
      <x:c r="F54" s="23" t="str">
        <x:v>ERP simulado</x:v>
      </x:c>
      <x:c r="G54" s="23" t="str">
        <x:v>Actual</x:v>
      </x:c>
      <x:c r="H54" s="23" t="str">
        <x:v>EUR</x:v>
      </x:c>
    </x:row>
    <x:row r="55">
      <x:c r="A55" s="23" t="str">
        <x:v>2024-03</x:v>
      </x:c>
      <x:c r="B55" s="23" t="str">
        <x:v>2024-03-31</x:v>
      </x:c>
      <x:c r="C55" s="23" t="str">
        <x:v>1200</x:v>
      </x:c>
      <x:c r="D55" s="23" t="str">
        <x:v>Existencias</x:v>
      </x:c>
      <x:c r="E55" s="24" t="n">
        <x:v>3121060</x:v>
      </x:c>
      <x:c r="F55" s="23" t="str">
        <x:v>ERP simulado</x:v>
      </x:c>
      <x:c r="G55" s="23" t="str">
        <x:v>Actual</x:v>
      </x:c>
      <x:c r="H55" s="23" t="str">
        <x:v>EUR</x:v>
      </x:c>
    </x:row>
    <x:row r="56">
      <x:c r="A56" s="23" t="str">
        <x:v>2024-03</x:v>
      </x:c>
      <x:c r="B56" s="23" t="str">
        <x:v>2024-03-31</x:v>
      </x:c>
      <x:c r="C56" s="23" t="str">
        <x:v>1300</x:v>
      </x:c>
      <x:c r="D56" s="23" t="str">
        <x:v>Pagos anticipados y otros activos corrientes</x:v>
      </x:c>
      <x:c r="E56" s="24" t="n">
        <x:v>616308</x:v>
      </x:c>
      <x:c r="F56" s="23" t="str">
        <x:v>ERP simulado</x:v>
      </x:c>
      <x:c r="G56" s="23" t="str">
        <x:v>Actual</x:v>
      </x:c>
      <x:c r="H56" s="23" t="str">
        <x:v>EUR</x:v>
      </x:c>
    </x:row>
    <x:row r="57">
      <x:c r="A57" s="23" t="str">
        <x:v>2024-03</x:v>
      </x:c>
      <x:c r="B57" s="23" t="str">
        <x:v>2024-03-31</x:v>
      </x:c>
      <x:c r="C57" s="23" t="str">
        <x:v>1400</x:v>
      </x:c>
      <x:c r="D57" s="23" t="str">
        <x:v>Inmovilizado material neto</x:v>
      </x:c>
      <x:c r="E57" s="24" t="n">
        <x:v>8121139</x:v>
      </x:c>
      <x:c r="F57" s="23" t="str">
        <x:v>ERP simulado</x:v>
      </x:c>
      <x:c r="G57" s="23" t="str">
        <x:v>Actual</x:v>
      </x:c>
      <x:c r="H57" s="23" t="str">
        <x:v>EUR</x:v>
      </x:c>
    </x:row>
    <x:row r="58">
      <x:c r="A58" s="23" t="str">
        <x:v>2024-03</x:v>
      </x:c>
      <x:c r="B58" s="23" t="str">
        <x:v>2024-03-31</x:v>
      </x:c>
      <x:c r="C58" s="23" t="str">
        <x:v>1500</x:v>
      </x:c>
      <x:c r="D58" s="23" t="str">
        <x:v>Activos intangibles netos</x:v>
      </x:c>
      <x:c r="E58" s="24" t="n">
        <x:v>1207950</x:v>
      </x:c>
      <x:c r="F58" s="23" t="str">
        <x:v>ERP simulado</x:v>
      </x:c>
      <x:c r="G58" s="23" t="str">
        <x:v>Actual</x:v>
      </x:c>
      <x:c r="H58" s="23" t="str">
        <x:v>EUR</x:v>
      </x:c>
    </x:row>
    <x:row r="59">
      <x:c r="A59" s="23" t="str">
        <x:v>2024-03</x:v>
      </x:c>
      <x:c r="B59" s="23" t="str">
        <x:v>2024-03-31</x:v>
      </x:c>
      <x:c r="C59" s="23" t="str">
        <x:v>1600</x:v>
      </x:c>
      <x:c r="D59" s="23" t="str">
        <x:v>Otros activos no corrientes</x:v>
      </x:c>
      <x:c r="E59" s="24" t="n">
        <x:v>800000</x:v>
      </x:c>
      <x:c r="F59" s="23" t="str">
        <x:v>ERP simulado</x:v>
      </x:c>
      <x:c r="G59" s="23" t="str">
        <x:v>Actual</x:v>
      </x:c>
      <x:c r="H59" s="23" t="str">
        <x:v>EUR</x:v>
      </x:c>
    </x:row>
    <x:row r="60">
      <x:c r="A60" s="23" t="str">
        <x:v>2024-03</x:v>
      </x:c>
      <x:c r="B60" s="23" t="str">
        <x:v>2024-03-31</x:v>
      </x:c>
      <x:c r="C60" s="23" t="str">
        <x:v>2000</x:v>
      </x:c>
      <x:c r="D60" s="23" t="str">
        <x:v>Proveedores</x:v>
      </x:c>
      <x:c r="E60" s="24" t="n">
        <x:v>2886892</x:v>
      </x:c>
      <x:c r="F60" s="23" t="str">
        <x:v>ERP simulado</x:v>
      </x:c>
      <x:c r="G60" s="23" t="str">
        <x:v>Actual</x:v>
      </x:c>
      <x:c r="H60" s="23" t="str">
        <x:v>EUR</x:v>
      </x:c>
    </x:row>
    <x:row r="61">
      <x:c r="A61" s="23" t="str">
        <x:v>2024-03</x:v>
      </x:c>
      <x:c r="B61" s="23" t="str">
        <x:v>2024-03-31</x:v>
      </x:c>
      <x:c r="C61" s="23" t="str">
        <x:v>2100</x:v>
      </x:c>
      <x:c r="D61" s="23" t="str">
        <x:v>Acreedores y gastos devengados</x:v>
      </x:c>
      <x:c r="E61" s="24" t="n">
        <x:v>880440</x:v>
      </x:c>
      <x:c r="F61" s="23" t="str">
        <x:v>ERP simulado</x:v>
      </x:c>
      <x:c r="G61" s="23" t="str">
        <x:v>Actual</x:v>
      </x:c>
      <x:c r="H61" s="23" t="str">
        <x:v>EUR</x:v>
      </x:c>
    </x:row>
    <x:row r="62">
      <x:c r="A62" s="23" t="str">
        <x:v>2024-03</x:v>
      </x:c>
      <x:c r="B62" s="23" t="str">
        <x:v>2024-03-31</x:v>
      </x:c>
      <x:c r="C62" s="23" t="str">
        <x:v>2200</x:v>
      </x:c>
      <x:c r="D62" s="23" t="str">
        <x:v>Impuestos a pagar</x:v>
      </x:c>
      <x:c r="E62" s="24" t="n">
        <x:v>113281</x:v>
      </x:c>
      <x:c r="F62" s="23" t="str">
        <x:v>ERP simulado</x:v>
      </x:c>
      <x:c r="G62" s="23" t="str">
        <x:v>Actual</x:v>
      </x:c>
      <x:c r="H62" s="23" t="str">
        <x:v>EUR</x:v>
      </x:c>
    </x:row>
    <x:row r="63">
      <x:c r="A63" s="23" t="str">
        <x:v>2024-03</x:v>
      </x:c>
      <x:c r="B63" s="23" t="str">
        <x:v>2024-03-31</x:v>
      </x:c>
      <x:c r="C63" s="23" t="str">
        <x:v>2300</x:v>
      </x:c>
      <x:c r="D63" s="23" t="str">
        <x:v>Deuda financiera corriente</x:v>
      </x:c>
      <x:c r="E63" s="24" t="n">
        <x:v>1175000</x:v>
      </x:c>
      <x:c r="F63" s="23" t="str">
        <x:v>ERP simulado</x:v>
      </x:c>
      <x:c r="G63" s="23" t="str">
        <x:v>Actual</x:v>
      </x:c>
      <x:c r="H63" s="23" t="str">
        <x:v>EUR</x:v>
      </x:c>
    </x:row>
    <x:row r="64">
      <x:c r="A64" s="23" t="str">
        <x:v>2024-03</x:v>
      </x:c>
      <x:c r="B64" s="23" t="str">
        <x:v>2024-03-31</x:v>
      </x:c>
      <x:c r="C64" s="23" t="str">
        <x:v>2400</x:v>
      </x:c>
      <x:c r="D64" s="23" t="str">
        <x:v>Pasivos por arrendamiento corrientes</x:v>
      </x:c>
      <x:c r="E64" s="24" t="n">
        <x:v>277500</x:v>
      </x:c>
      <x:c r="F64" s="23" t="str">
        <x:v>ERP simulado</x:v>
      </x:c>
      <x:c r="G64" s="23" t="str">
        <x:v>Actual</x:v>
      </x:c>
      <x:c r="H64" s="23" t="str">
        <x:v>EUR</x:v>
      </x:c>
    </x:row>
    <x:row r="65">
      <x:c r="A65" s="23" t="str">
        <x:v>2024-03</x:v>
      </x:c>
      <x:c r="B65" s="23" t="str">
        <x:v>2024-03-31</x:v>
      </x:c>
      <x:c r="C65" s="23" t="str">
        <x:v>2500</x:v>
      </x:c>
      <x:c r="D65" s="23" t="str">
        <x:v>Deuda financiera no corriente</x:v>
      </x:c>
      <x:c r="E65" s="24" t="n">
        <x:v>4700000</x:v>
      </x:c>
      <x:c r="F65" s="23" t="str">
        <x:v>ERP simulado</x:v>
      </x:c>
      <x:c r="G65" s="23" t="str">
        <x:v>Actual</x:v>
      </x:c>
      <x:c r="H65" s="23" t="str">
        <x:v>EUR</x:v>
      </x:c>
    </x:row>
    <x:row r="66">
      <x:c r="A66" s="23" t="str">
        <x:v>2024-03</x:v>
      </x:c>
      <x:c r="B66" s="23" t="str">
        <x:v>2024-03-31</x:v>
      </x:c>
      <x:c r="C66" s="23" t="str">
        <x:v>2600</x:v>
      </x:c>
      <x:c r="D66" s="23" t="str">
        <x:v>Pasivos por arrendamiento no corrientes</x:v>
      </x:c>
      <x:c r="E66" s="24" t="n">
        <x:v>647500</x:v>
      </x:c>
      <x:c r="F66" s="23" t="str">
        <x:v>ERP simulado</x:v>
      </x:c>
      <x:c r="G66" s="23" t="str">
        <x:v>Actual</x:v>
      </x:c>
      <x:c r="H66" s="23" t="str">
        <x:v>EUR</x:v>
      </x:c>
    </x:row>
    <x:row r="67">
      <x:c r="A67" s="23" t="str">
        <x:v>2024-03</x:v>
      </x:c>
      <x:c r="B67" s="23" t="str">
        <x:v>2024-03-31</x:v>
      </x:c>
      <x:c r="C67" s="23" t="str">
        <x:v>2700</x:v>
      </x:c>
      <x:c r="D67" s="23" t="str">
        <x:v>Otros pasivos</x:v>
      </x:c>
      <x:c r="E67" s="24" t="n">
        <x:v>800000</x:v>
      </x:c>
      <x:c r="F67" s="23" t="str">
        <x:v>ERP simulado</x:v>
      </x:c>
      <x:c r="G67" s="23" t="str">
        <x:v>Actual</x:v>
      </x:c>
      <x:c r="H67" s="23" t="str">
        <x:v>EUR</x:v>
      </x:c>
    </x:row>
    <x:row r="68">
      <x:c r="A68" s="23" t="str">
        <x:v>2024-03</x:v>
      </x:c>
      <x:c r="B68" s="23" t="str">
        <x:v>2024-03-31</x:v>
      </x:c>
      <x:c r="C68" s="23" t="str">
        <x:v>3000</x:v>
      </x:c>
      <x:c r="D68" s="23" t="str">
        <x:v>Capital social</x:v>
      </x:c>
      <x:c r="E68" s="24" t="n">
        <x:v>5000000</x:v>
      </x:c>
      <x:c r="F68" s="23" t="str">
        <x:v>ERP simulado</x:v>
      </x:c>
      <x:c r="G68" s="23" t="str">
        <x:v>Actual</x:v>
      </x:c>
      <x:c r="H68" s="23" t="str">
        <x:v>EUR</x:v>
      </x:c>
    </x:row>
    <x:row r="69">
      <x:c r="A69" s="23" t="str">
        <x:v>2024-03</x:v>
      </x:c>
      <x:c r="B69" s="23" t="str">
        <x:v>2024-03-31</x:v>
      </x:c>
      <x:c r="C69" s="23" t="str">
        <x:v>3100</x:v>
      </x:c>
      <x:c r="D69" s="23" t="str">
        <x:v>Resultados acumulados</x:v>
      </x:c>
      <x:c r="E69" s="24" t="n">
        <x:v>4891288</x:v>
      </x:c>
      <x:c r="F69" s="23" t="str">
        <x:v>ERP simulado</x:v>
      </x:c>
      <x:c r="G69" s="23" t="str">
        <x:v>Actual</x:v>
      </x:c>
      <x:c r="H69" s="23" t="str">
        <x:v>EUR</x:v>
      </x:c>
    </x:row>
    <x:row r="70">
      <x:c r="A70" s="23" t="str">
        <x:v>2024-04</x:v>
      </x:c>
      <x:c r="B70" s="23" t="str">
        <x:v>2024-04-30</x:v>
      </x:c>
      <x:c r="C70" s="23" t="str">
        <x:v>1000</x:v>
      </x:c>
      <x:c r="D70" s="23" t="str">
        <x:v>Efectivo y equivalentes</x:v>
      </x:c>
      <x:c r="E70" s="24" t="n">
        <x:v>2272379</x:v>
      </x:c>
      <x:c r="F70" s="23" t="str">
        <x:v>ERP simulado</x:v>
      </x:c>
      <x:c r="G70" s="23" t="str">
        <x:v>Actual</x:v>
      </x:c>
      <x:c r="H70" s="23" t="str">
        <x:v>EUR</x:v>
      </x:c>
    </x:row>
    <x:row r="71">
      <x:c r="A71" s="23" t="str">
        <x:v>2024-04</x:v>
      </x:c>
      <x:c r="B71" s="23" t="str">
        <x:v>2024-04-30</x:v>
      </x:c>
      <x:c r="C71" s="23" t="str">
        <x:v>1100</x:v>
      </x:c>
      <x:c r="D71" s="23" t="str">
        <x:v>Clientes</x:v>
      </x:c>
      <x:c r="E71" s="24" t="n">
        <x:v>5435592</x:v>
      </x:c>
      <x:c r="F71" s="23" t="str">
        <x:v>ERP simulado</x:v>
      </x:c>
      <x:c r="G71" s="23" t="str">
        <x:v>Actual</x:v>
      </x:c>
      <x:c r="H71" s="23" t="str">
        <x:v>EUR</x:v>
      </x:c>
    </x:row>
    <x:row r="72">
      <x:c r="A72" s="23" t="str">
        <x:v>2024-04</x:v>
      </x:c>
      <x:c r="B72" s="23" t="str">
        <x:v>2024-04-30</x:v>
      </x:c>
      <x:c r="C72" s="23" t="str">
        <x:v>1200</x:v>
      </x:c>
      <x:c r="D72" s="23" t="str">
        <x:v>Existencias</x:v>
      </x:c>
      <x:c r="E72" s="24" t="n">
        <x:v>3162659</x:v>
      </x:c>
      <x:c r="F72" s="23" t="str">
        <x:v>ERP simulado</x:v>
      </x:c>
      <x:c r="G72" s="23" t="str">
        <x:v>Actual</x:v>
      </x:c>
      <x:c r="H72" s="23" t="str">
        <x:v>EUR</x:v>
      </x:c>
    </x:row>
    <x:row r="73">
      <x:c r="A73" s="23" t="str">
        <x:v>2024-04</x:v>
      </x:c>
      <x:c r="B73" s="23" t="str">
        <x:v>2024-04-30</x:v>
      </x:c>
      <x:c r="C73" s="23" t="str">
        <x:v>1300</x:v>
      </x:c>
      <x:c r="D73" s="23" t="str">
        <x:v>Pagos anticipados y otros activos corrientes</x:v>
      </x:c>
      <x:c r="E73" s="24" t="n">
        <x:v>607563</x:v>
      </x:c>
      <x:c r="F73" s="23" t="str">
        <x:v>ERP simulado</x:v>
      </x:c>
      <x:c r="G73" s="23" t="str">
        <x:v>Actual</x:v>
      </x:c>
      <x:c r="H73" s="23" t="str">
        <x:v>EUR</x:v>
      </x:c>
    </x:row>
    <x:row r="74">
      <x:c r="A74" s="23" t="str">
        <x:v>2024-04</x:v>
      </x:c>
      <x:c r="B74" s="23" t="str">
        <x:v>2024-04-30</x:v>
      </x:c>
      <x:c r="C74" s="23" t="str">
        <x:v>1400</x:v>
      </x:c>
      <x:c r="D74" s="23" t="str">
        <x:v>Inmovilizado material neto</x:v>
      </x:c>
      <x:c r="E74" s="24" t="n">
        <x:v>8169676</x:v>
      </x:c>
      <x:c r="F74" s="23" t="str">
        <x:v>ERP simulado</x:v>
      </x:c>
      <x:c r="G74" s="23" t="str">
        <x:v>Actual</x:v>
      </x:c>
      <x:c r="H74" s="23" t="str">
        <x:v>EUR</x:v>
      </x:c>
    </x:row>
    <x:row r="75">
      <x:c r="A75" s="23" t="str">
        <x:v>2024-04</x:v>
      </x:c>
      <x:c r="B75" s="23" t="str">
        <x:v>2024-04-30</x:v>
      </x:c>
      <x:c r="C75" s="23" t="str">
        <x:v>1500</x:v>
      </x:c>
      <x:c r="D75" s="23" t="str">
        <x:v>Activos intangibles netos</x:v>
      </x:c>
      <x:c r="E75" s="24" t="n">
        <x:v>1199900</x:v>
      </x:c>
      <x:c r="F75" s="23" t="str">
        <x:v>ERP simulado</x:v>
      </x:c>
      <x:c r="G75" s="23" t="str">
        <x:v>Actual</x:v>
      </x:c>
      <x:c r="H75" s="23" t="str">
        <x:v>EUR</x:v>
      </x:c>
    </x:row>
    <x:row r="76">
      <x:c r="A76" s="23" t="str">
        <x:v>2024-04</x:v>
      </x:c>
      <x:c r="B76" s="23" t="str">
        <x:v>2024-04-30</x:v>
      </x:c>
      <x:c r="C76" s="23" t="str">
        <x:v>1600</x:v>
      </x:c>
      <x:c r="D76" s="23" t="str">
        <x:v>Otros activos no corrientes</x:v>
      </x:c>
      <x:c r="E76" s="24" t="n">
        <x:v>800000</x:v>
      </x:c>
      <x:c r="F76" s="23" t="str">
        <x:v>ERP simulado</x:v>
      </x:c>
      <x:c r="G76" s="23" t="str">
        <x:v>Actual</x:v>
      </x:c>
      <x:c r="H76" s="23" t="str">
        <x:v>EUR</x:v>
      </x:c>
    </x:row>
    <x:row r="77">
      <x:c r="A77" s="23" t="str">
        <x:v>2024-04</x:v>
      </x:c>
      <x:c r="B77" s="23" t="str">
        <x:v>2024-04-30</x:v>
      </x:c>
      <x:c r="C77" s="23" t="str">
        <x:v>2000</x:v>
      </x:c>
      <x:c r="D77" s="23" t="str">
        <x:v>Proveedores</x:v>
      </x:c>
      <x:c r="E77" s="24" t="n">
        <x:v>2958467</x:v>
      </x:c>
      <x:c r="F77" s="23" t="str">
        <x:v>ERP simulado</x:v>
      </x:c>
      <x:c r="G77" s="23" t="str">
        <x:v>Actual</x:v>
      </x:c>
      <x:c r="H77" s="23" t="str">
        <x:v>EUR</x:v>
      </x:c>
    </x:row>
    <x:row r="78">
      <x:c r="A78" s="23" t="str">
        <x:v>2024-04</x:v>
      </x:c>
      <x:c r="B78" s="23" t="str">
        <x:v>2024-04-30</x:v>
      </x:c>
      <x:c r="C78" s="23" t="str">
        <x:v>2100</x:v>
      </x:c>
      <x:c r="D78" s="23" t="str">
        <x:v>Acreedores y gastos devengados</x:v>
      </x:c>
      <x:c r="E78" s="24" t="n">
        <x:v>867947</x:v>
      </x:c>
      <x:c r="F78" s="23" t="str">
        <x:v>ERP simulado</x:v>
      </x:c>
      <x:c r="G78" s="23" t="str">
        <x:v>Actual</x:v>
      </x:c>
      <x:c r="H78" s="23" t="str">
        <x:v>EUR</x:v>
      </x:c>
    </x:row>
    <x:row r="79">
      <x:c r="A79" s="23" t="str">
        <x:v>2024-04</x:v>
      </x:c>
      <x:c r="B79" s="23" t="str">
        <x:v>2024-04-30</x:v>
      </x:c>
      <x:c r="C79" s="23" t="str">
        <x:v>2200</x:v>
      </x:c>
      <x:c r="D79" s="23" t="str">
        <x:v>Impuestos a pagar</x:v>
      </x:c>
      <x:c r="E79" s="24" t="n">
        <x:v>110194</x:v>
      </x:c>
      <x:c r="F79" s="23" t="str">
        <x:v>ERP simulado</x:v>
      </x:c>
      <x:c r="G79" s="23" t="str">
        <x:v>Actual</x:v>
      </x:c>
      <x:c r="H79" s="23" t="str">
        <x:v>EUR</x:v>
      </x:c>
    </x:row>
    <x:row r="80">
      <x:c r="A80" s="23" t="str">
        <x:v>2024-04</x:v>
      </x:c>
      <x:c r="B80" s="23" t="str">
        <x:v>2024-04-30</x:v>
      </x:c>
      <x:c r="C80" s="23" t="str">
        <x:v>2300</x:v>
      </x:c>
      <x:c r="D80" s="23" t="str">
        <x:v>Deuda financiera corriente</x:v>
      </x:c>
      <x:c r="E80" s="24" t="n">
        <x:v>1175000</x:v>
      </x:c>
      <x:c r="F80" s="23" t="str">
        <x:v>ERP simulado</x:v>
      </x:c>
      <x:c r="G80" s="23" t="str">
        <x:v>Actual</x:v>
      </x:c>
      <x:c r="H80" s="23" t="str">
        <x:v>EUR</x:v>
      </x:c>
    </x:row>
    <x:row r="81">
      <x:c r="A81" s="23" t="str">
        <x:v>2024-04</x:v>
      </x:c>
      <x:c r="B81" s="23" t="str">
        <x:v>2024-04-30</x:v>
      </x:c>
      <x:c r="C81" s="23" t="str">
        <x:v>2400</x:v>
      </x:c>
      <x:c r="D81" s="23" t="str">
        <x:v>Pasivos por arrendamiento corrientes</x:v>
      </x:c>
      <x:c r="E81" s="24" t="n">
        <x:v>270000</x:v>
      </x:c>
      <x:c r="F81" s="23" t="str">
        <x:v>ERP simulado</x:v>
      </x:c>
      <x:c r="G81" s="23" t="str">
        <x:v>Actual</x:v>
      </x:c>
      <x:c r="H81" s="23" t="str">
        <x:v>EUR</x:v>
      </x:c>
    </x:row>
    <x:row r="82">
      <x:c r="A82" s="23" t="str">
        <x:v>2024-04</x:v>
      </x:c>
      <x:c r="B82" s="23" t="str">
        <x:v>2024-04-30</x:v>
      </x:c>
      <x:c r="C82" s="23" t="str">
        <x:v>2500</x:v>
      </x:c>
      <x:c r="D82" s="23" t="str">
        <x:v>Deuda financiera no corriente</x:v>
      </x:c>
      <x:c r="E82" s="24" t="n">
        <x:v>4700000</x:v>
      </x:c>
      <x:c r="F82" s="23" t="str">
        <x:v>ERP simulado</x:v>
      </x:c>
      <x:c r="G82" s="23" t="str">
        <x:v>Actual</x:v>
      </x:c>
      <x:c r="H82" s="23" t="str">
        <x:v>EUR</x:v>
      </x:c>
    </x:row>
    <x:row r="83">
      <x:c r="A83" s="23" t="str">
        <x:v>2024-04</x:v>
      </x:c>
      <x:c r="B83" s="23" t="str">
        <x:v>2024-04-30</x:v>
      </x:c>
      <x:c r="C83" s="23" t="str">
        <x:v>2600</x:v>
      </x:c>
      <x:c r="D83" s="23" t="str">
        <x:v>Pasivos por arrendamiento no corrientes</x:v>
      </x:c>
      <x:c r="E83" s="24" t="n">
        <x:v>630000</x:v>
      </x:c>
      <x:c r="F83" s="23" t="str">
        <x:v>ERP simulado</x:v>
      </x:c>
      <x:c r="G83" s="23" t="str">
        <x:v>Actual</x:v>
      </x:c>
      <x:c r="H83" s="23" t="str">
        <x:v>EUR</x:v>
      </x:c>
    </x:row>
    <x:row r="84">
      <x:c r="A84" s="23" t="str">
        <x:v>2024-04</x:v>
      </x:c>
      <x:c r="B84" s="23" t="str">
        <x:v>2024-04-30</x:v>
      </x:c>
      <x:c r="C84" s="23" t="str">
        <x:v>2700</x:v>
      </x:c>
      <x:c r="D84" s="23" t="str">
        <x:v>Otros pasivos</x:v>
      </x:c>
      <x:c r="E84" s="24" t="n">
        <x:v>800000</x:v>
      </x:c>
      <x:c r="F84" s="23" t="str">
        <x:v>ERP simulado</x:v>
      </x:c>
      <x:c r="G84" s="23" t="str">
        <x:v>Actual</x:v>
      </x:c>
      <x:c r="H84" s="23" t="str">
        <x:v>EUR</x:v>
      </x:c>
    </x:row>
    <x:row r="85">
      <x:c r="A85" s="23" t="str">
        <x:v>2024-04</x:v>
      </x:c>
      <x:c r="B85" s="23" t="str">
        <x:v>2024-04-30</x:v>
      </x:c>
      <x:c r="C85" s="23" t="str">
        <x:v>3000</x:v>
      </x:c>
      <x:c r="D85" s="23" t="str">
        <x:v>Capital social</x:v>
      </x:c>
      <x:c r="E85" s="24" t="n">
        <x:v>5000000</x:v>
      </x:c>
      <x:c r="F85" s="23" t="str">
        <x:v>ERP simulado</x:v>
      </x:c>
      <x:c r="G85" s="23" t="str">
        <x:v>Actual</x:v>
      </x:c>
      <x:c r="H85" s="23" t="str">
        <x:v>EUR</x:v>
      </x:c>
    </x:row>
    <x:row r="86">
      <x:c r="A86" s="23" t="str">
        <x:v>2024-04</x:v>
      </x:c>
      <x:c r="B86" s="23" t="str">
        <x:v>2024-04-30</x:v>
      </x:c>
      <x:c r="C86" s="23" t="str">
        <x:v>3100</x:v>
      </x:c>
      <x:c r="D86" s="23" t="str">
        <x:v>Resultados acumulados</x:v>
      </x:c>
      <x:c r="E86" s="24" t="n">
        <x:v>5136161</x:v>
      </x:c>
      <x:c r="F86" s="23" t="str">
        <x:v>ERP simulado</x:v>
      </x:c>
      <x:c r="G86" s="23" t="str">
        <x:v>Actual</x:v>
      </x:c>
      <x:c r="H86" s="23" t="str">
        <x:v>EUR</x:v>
      </x:c>
    </x:row>
    <x:row r="87">
      <x:c r="A87" s="23" t="str">
        <x:v>2024-05</x:v>
      </x:c>
      <x:c r="B87" s="23" t="str">
        <x:v>2024-05-31</x:v>
      </x:c>
      <x:c r="C87" s="23" t="str">
        <x:v>1000</x:v>
      </x:c>
      <x:c r="D87" s="23" t="str">
        <x:v>Efectivo y equivalentes</x:v>
      </x:c>
      <x:c r="E87" s="24" t="n">
        <x:v>2420624</x:v>
      </x:c>
      <x:c r="F87" s="23" t="str">
        <x:v>ERP simulado</x:v>
      </x:c>
      <x:c r="G87" s="23" t="str">
        <x:v>Actual</x:v>
      </x:c>
      <x:c r="H87" s="23" t="str">
        <x:v>EUR</x:v>
      </x:c>
    </x:row>
    <x:row r="88">
      <x:c r="A88" s="23" t="str">
        <x:v>2024-05</x:v>
      </x:c>
      <x:c r="B88" s="23" t="str">
        <x:v>2024-05-31</x:v>
      </x:c>
      <x:c r="C88" s="23" t="str">
        <x:v>1100</x:v>
      </x:c>
      <x:c r="D88" s="23" t="str">
        <x:v>Clientes</x:v>
      </x:c>
      <x:c r="E88" s="24" t="n">
        <x:v>5538457</x:v>
      </x:c>
      <x:c r="F88" s="23" t="str">
        <x:v>ERP simulado</x:v>
      </x:c>
      <x:c r="G88" s="23" t="str">
        <x:v>Actual</x:v>
      </x:c>
      <x:c r="H88" s="23" t="str">
        <x:v>EUR</x:v>
      </x:c>
    </x:row>
    <x:row r="89">
      <x:c r="A89" s="23" t="str">
        <x:v>2024-05</x:v>
      </x:c>
      <x:c r="B89" s="23" t="str">
        <x:v>2024-05-31</x:v>
      </x:c>
      <x:c r="C89" s="23" t="str">
        <x:v>1200</x:v>
      </x:c>
      <x:c r="D89" s="23" t="str">
        <x:v>Existencias</x:v>
      </x:c>
      <x:c r="E89" s="24" t="n">
        <x:v>3181640</x:v>
      </x:c>
      <x:c r="F89" s="23" t="str">
        <x:v>ERP simulado</x:v>
      </x:c>
      <x:c r="G89" s="23" t="str">
        <x:v>Actual</x:v>
      </x:c>
      <x:c r="H89" s="23" t="str">
        <x:v>EUR</x:v>
      </x:c>
    </x:row>
    <x:row r="90">
      <x:c r="A90" s="23" t="str">
        <x:v>2024-05</x:v>
      </x:c>
      <x:c r="B90" s="23" t="str">
        <x:v>2024-05-31</x:v>
      </x:c>
      <x:c r="C90" s="23" t="str">
        <x:v>1300</x:v>
      </x:c>
      <x:c r="D90" s="23" t="str">
        <x:v>Pagos anticipados y otros activos corrientes</x:v>
      </x:c>
      <x:c r="E90" s="24" t="n">
        <x:v>636088</x:v>
      </x:c>
      <x:c r="F90" s="23" t="str">
        <x:v>ERP simulado</x:v>
      </x:c>
      <x:c r="G90" s="23" t="str">
        <x:v>Actual</x:v>
      </x:c>
      <x:c r="H90" s="23" t="str">
        <x:v>EUR</x:v>
      </x:c>
    </x:row>
    <x:row r="91">
      <x:c r="A91" s="23" t="str">
        <x:v>2024-05</x:v>
      </x:c>
      <x:c r="B91" s="23" t="str">
        <x:v>2024-05-31</x:v>
      </x:c>
      <x:c r="C91" s="23" t="str">
        <x:v>1400</x:v>
      </x:c>
      <x:c r="D91" s="23" t="str">
        <x:v>Inmovilizado material neto</x:v>
      </x:c>
      <x:c r="E91" s="24" t="n">
        <x:v>8218974</x:v>
      </x:c>
      <x:c r="F91" s="23" t="str">
        <x:v>ERP simulado</x:v>
      </x:c>
      <x:c r="G91" s="23" t="str">
        <x:v>Actual</x:v>
      </x:c>
      <x:c r="H91" s="23" t="str">
        <x:v>EUR</x:v>
      </x:c>
    </x:row>
    <x:row r="92">
      <x:c r="A92" s="23" t="str">
        <x:v>2024-05</x:v>
      </x:c>
      <x:c r="B92" s="23" t="str">
        <x:v>2024-05-31</x:v>
      </x:c>
      <x:c r="C92" s="23" t="str">
        <x:v>1500</x:v>
      </x:c>
      <x:c r="D92" s="23" t="str">
        <x:v>Activos intangibles netos</x:v>
      </x:c>
      <x:c r="E92" s="24" t="n">
        <x:v>1191500</x:v>
      </x:c>
      <x:c r="F92" s="23" t="str">
        <x:v>ERP simulado</x:v>
      </x:c>
      <x:c r="G92" s="23" t="str">
        <x:v>Actual</x:v>
      </x:c>
      <x:c r="H92" s="23" t="str">
        <x:v>EUR</x:v>
      </x:c>
    </x:row>
    <x:row r="93">
      <x:c r="A93" s="23" t="str">
        <x:v>2024-05</x:v>
      </x:c>
      <x:c r="B93" s="23" t="str">
        <x:v>2024-05-31</x:v>
      </x:c>
      <x:c r="C93" s="23" t="str">
        <x:v>1600</x:v>
      </x:c>
      <x:c r="D93" s="23" t="str">
        <x:v>Otros activos no corrientes</x:v>
      </x:c>
      <x:c r="E93" s="24" t="n">
        <x:v>800000</x:v>
      </x:c>
      <x:c r="F93" s="23" t="str">
        <x:v>ERP simulado</x:v>
      </x:c>
      <x:c r="G93" s="23" t="str">
        <x:v>Actual</x:v>
      </x:c>
      <x:c r="H93" s="23" t="str">
        <x:v>EUR</x:v>
      </x:c>
    </x:row>
    <x:row r="94">
      <x:c r="A94" s="23" t="str">
        <x:v>2024-05</x:v>
      </x:c>
      <x:c r="B94" s="23" t="str">
        <x:v>2024-05-31</x:v>
      </x:c>
      <x:c r="C94" s="23" t="str">
        <x:v>2000</x:v>
      </x:c>
      <x:c r="D94" s="23" t="str">
        <x:v>Proveedores</x:v>
      </x:c>
      <x:c r="E94" s="24" t="n">
        <x:v>3013801</x:v>
      </x:c>
      <x:c r="F94" s="23" t="str">
        <x:v>ERP simulado</x:v>
      </x:c>
      <x:c r="G94" s="23" t="str">
        <x:v>Actual</x:v>
      </x:c>
      <x:c r="H94" s="23" t="str">
        <x:v>EUR</x:v>
      </x:c>
    </x:row>
    <x:row r="95">
      <x:c r="A95" s="23" t="str">
        <x:v>2024-05</x:v>
      </x:c>
      <x:c r="B95" s="23" t="str">
        <x:v>2024-05-31</x:v>
      </x:c>
      <x:c r="C95" s="23" t="str">
        <x:v>2100</x:v>
      </x:c>
      <x:c r="D95" s="23" t="str">
        <x:v>Acreedores y gastos devengados</x:v>
      </x:c>
      <x:c r="E95" s="24" t="n">
        <x:v>908698</x:v>
      </x:c>
      <x:c r="F95" s="23" t="str">
        <x:v>ERP simulado</x:v>
      </x:c>
      <x:c r="G95" s="23" t="str">
        <x:v>Actual</x:v>
      </x:c>
      <x:c r="H95" s="23" t="str">
        <x:v>EUR</x:v>
      </x:c>
    </x:row>
    <x:row r="96">
      <x:c r="A96" s="23" t="str">
        <x:v>2024-05</x:v>
      </x:c>
      <x:c r="B96" s="23" t="str">
        <x:v>2024-05-31</x:v>
      </x:c>
      <x:c r="C96" s="23" t="str">
        <x:v>2200</x:v>
      </x:c>
      <x:c r="D96" s="23" t="str">
        <x:v>Impuestos a pagar</x:v>
      </x:c>
      <x:c r="E96" s="24" t="n">
        <x:v>117504</x:v>
      </x:c>
      <x:c r="F96" s="23" t="str">
        <x:v>ERP simulado</x:v>
      </x:c>
      <x:c r="G96" s="23" t="str">
        <x:v>Actual</x:v>
      </x:c>
      <x:c r="H96" s="23" t="str">
        <x:v>EUR</x:v>
      </x:c>
    </x:row>
    <x:row r="97">
      <x:c r="A97" s="23" t="str">
        <x:v>2024-05</x:v>
      </x:c>
      <x:c r="B97" s="23" t="str">
        <x:v>2024-05-31</x:v>
      </x:c>
      <x:c r="C97" s="23" t="str">
        <x:v>2300</x:v>
      </x:c>
      <x:c r="D97" s="23" t="str">
        <x:v>Deuda financiera corriente</x:v>
      </x:c>
      <x:c r="E97" s="24" t="n">
        <x:v>1175000</x:v>
      </x:c>
      <x:c r="F97" s="23" t="str">
        <x:v>ERP simulado</x:v>
      </x:c>
      <x:c r="G97" s="23" t="str">
        <x:v>Actual</x:v>
      </x:c>
      <x:c r="H97" s="23" t="str">
        <x:v>EUR</x:v>
      </x:c>
    </x:row>
    <x:row r="98">
      <x:c r="A98" s="23" t="str">
        <x:v>2024-05</x:v>
      </x:c>
      <x:c r="B98" s="23" t="str">
        <x:v>2024-05-31</x:v>
      </x:c>
      <x:c r="C98" s="23" t="str">
        <x:v>2400</x:v>
      </x:c>
      <x:c r="D98" s="23" t="str">
        <x:v>Pasivos por arrendamiento corrientes</x:v>
      </x:c>
      <x:c r="E98" s="24" t="n">
        <x:v>262500</x:v>
      </x:c>
      <x:c r="F98" s="23" t="str">
        <x:v>ERP simulado</x:v>
      </x:c>
      <x:c r="G98" s="23" t="str">
        <x:v>Actual</x:v>
      </x:c>
      <x:c r="H98" s="23" t="str">
        <x:v>EUR</x:v>
      </x:c>
    </x:row>
    <x:row r="99">
      <x:c r="A99" s="23" t="str">
        <x:v>2024-05</x:v>
      </x:c>
      <x:c r="B99" s="23" t="str">
        <x:v>2024-05-31</x:v>
      </x:c>
      <x:c r="C99" s="23" t="str">
        <x:v>2500</x:v>
      </x:c>
      <x:c r="D99" s="23" t="str">
        <x:v>Deuda financiera no corriente</x:v>
      </x:c>
      <x:c r="E99" s="24" t="n">
        <x:v>4700000</x:v>
      </x:c>
      <x:c r="F99" s="23" t="str">
        <x:v>ERP simulado</x:v>
      </x:c>
      <x:c r="G99" s="23" t="str">
        <x:v>Actual</x:v>
      </x:c>
      <x:c r="H99" s="23" t="str">
        <x:v>EUR</x:v>
      </x:c>
    </x:row>
    <x:row r="100">
      <x:c r="A100" s="23" t="str">
        <x:v>2024-05</x:v>
      </x:c>
      <x:c r="B100" s="23" t="str">
        <x:v>2024-05-31</x:v>
      </x:c>
      <x:c r="C100" s="23" t="str">
        <x:v>2600</x:v>
      </x:c>
      <x:c r="D100" s="23" t="str">
        <x:v>Pasivos por arrendamiento no corrientes</x:v>
      </x:c>
      <x:c r="E100" s="24" t="n">
        <x:v>612500</x:v>
      </x:c>
      <x:c r="F100" s="23" t="str">
        <x:v>ERP simulado</x:v>
      </x:c>
      <x:c r="G100" s="23" t="str">
        <x:v>Actual</x:v>
      </x:c>
      <x:c r="H100" s="23" t="str">
        <x:v>EUR</x:v>
      </x:c>
    </x:row>
    <x:row r="101">
      <x:c r="A101" s="23" t="str">
        <x:v>2024-05</x:v>
      </x:c>
      <x:c r="B101" s="23" t="str">
        <x:v>2024-05-31</x:v>
      </x:c>
      <x:c r="C101" s="23" t="str">
        <x:v>2700</x:v>
      </x:c>
      <x:c r="D101" s="23" t="str">
        <x:v>Otros pasivos</x:v>
      </x:c>
      <x:c r="E101" s="24" t="n">
        <x:v>800000</x:v>
      </x:c>
      <x:c r="F101" s="23" t="str">
        <x:v>ERP simulado</x:v>
      </x:c>
      <x:c r="G101" s="23" t="str">
        <x:v>Actual</x:v>
      </x:c>
      <x:c r="H101" s="23" t="str">
        <x:v>EUR</x:v>
      </x:c>
    </x:row>
    <x:row r="102">
      <x:c r="A102" s="23" t="str">
        <x:v>2024-05</x:v>
      </x:c>
      <x:c r="B102" s="23" t="str">
        <x:v>2024-05-31</x:v>
      </x:c>
      <x:c r="C102" s="23" t="str">
        <x:v>3000</x:v>
      </x:c>
      <x:c r="D102" s="23" t="str">
        <x:v>Capital social</x:v>
      </x:c>
      <x:c r="E102" s="24" t="n">
        <x:v>5000000</x:v>
      </x:c>
      <x:c r="F102" s="23" t="str">
        <x:v>ERP simulado</x:v>
      </x:c>
      <x:c r="G102" s="23" t="str">
        <x:v>Actual</x:v>
      </x:c>
      <x:c r="H102" s="23" t="str">
        <x:v>EUR</x:v>
      </x:c>
    </x:row>
    <x:row r="103">
      <x:c r="A103" s="23" t="str">
        <x:v>2024-05</x:v>
      </x:c>
      <x:c r="B103" s="23" t="str">
        <x:v>2024-05-31</x:v>
      </x:c>
      <x:c r="C103" s="23" t="str">
        <x:v>3100</x:v>
      </x:c>
      <x:c r="D103" s="23" t="str">
        <x:v>Resultados acumulados</x:v>
      </x:c>
      <x:c r="E103" s="24" t="n">
        <x:v>5397280</x:v>
      </x:c>
      <x:c r="F103" s="23" t="str">
        <x:v>ERP simulado</x:v>
      </x:c>
      <x:c r="G103" s="23" t="str">
        <x:v>Actual</x:v>
      </x:c>
      <x:c r="H103" s="23" t="str">
        <x:v>EUR</x:v>
      </x:c>
    </x:row>
    <x:row r="104">
      <x:c r="A104" s="23" t="str">
        <x:v>2024-06</x:v>
      </x:c>
      <x:c r="B104" s="23" t="str">
        <x:v>2024-06-30</x:v>
      </x:c>
      <x:c r="C104" s="23" t="str">
        <x:v>1000</x:v>
      </x:c>
      <x:c r="D104" s="23" t="str">
        <x:v>Efectivo y equivalentes</x:v>
      </x:c>
      <x:c r="E104" s="24" t="n">
        <x:v>2164232</x:v>
      </x:c>
      <x:c r="F104" s="23" t="str">
        <x:v>ERP simulado</x:v>
      </x:c>
      <x:c r="G104" s="23" t="str">
        <x:v>Actual</x:v>
      </x:c>
      <x:c r="H104" s="23" t="str">
        <x:v>EUR</x:v>
      </x:c>
    </x:row>
    <x:row r="105">
      <x:c r="A105" s="23" t="str">
        <x:v>2024-06</x:v>
      </x:c>
      <x:c r="B105" s="23" t="str">
        <x:v>2024-06-30</x:v>
      </x:c>
      <x:c r="C105" s="23" t="str">
        <x:v>1100</x:v>
      </x:c>
      <x:c r="D105" s="23" t="str">
        <x:v>Clientes</x:v>
      </x:c>
      <x:c r="E105" s="24" t="n">
        <x:v>5891747</x:v>
      </x:c>
      <x:c r="F105" s="23" t="str">
        <x:v>ERP simulado</x:v>
      </x:c>
      <x:c r="G105" s="23" t="str">
        <x:v>Actual</x:v>
      </x:c>
      <x:c r="H105" s="23" t="str">
        <x:v>EUR</x:v>
      </x:c>
    </x:row>
    <x:row r="106">
      <x:c r="A106" s="23" t="str">
        <x:v>2024-06</x:v>
      </x:c>
      <x:c r="B106" s="23" t="str">
        <x:v>2024-06-30</x:v>
      </x:c>
      <x:c r="C106" s="23" t="str">
        <x:v>1200</x:v>
      </x:c>
      <x:c r="D106" s="23" t="str">
        <x:v>Existencias</x:v>
      </x:c>
      <x:c r="E106" s="24" t="n">
        <x:v>3342550</x:v>
      </x:c>
      <x:c r="F106" s="23" t="str">
        <x:v>ERP simulado</x:v>
      </x:c>
      <x:c r="G106" s="23" t="str">
        <x:v>Actual</x:v>
      </x:c>
      <x:c r="H106" s="23" t="str">
        <x:v>EUR</x:v>
      </x:c>
    </x:row>
    <x:row r="107">
      <x:c r="A107" s="23" t="str">
        <x:v>2024-06</x:v>
      </x:c>
      <x:c r="B107" s="23" t="str">
        <x:v>2024-06-30</x:v>
      </x:c>
      <x:c r="C107" s="23" t="str">
        <x:v>1300</x:v>
      </x:c>
      <x:c r="D107" s="23" t="str">
        <x:v>Pagos anticipados y otros activos corrientes</x:v>
      </x:c>
      <x:c r="E107" s="24" t="n">
        <x:v>652361</x:v>
      </x:c>
      <x:c r="F107" s="23" t="str">
        <x:v>ERP simulado</x:v>
      </x:c>
      <x:c r="G107" s="23" t="str">
        <x:v>Actual</x:v>
      </x:c>
      <x:c r="H107" s="23" t="str">
        <x:v>EUR</x:v>
      </x:c>
    </x:row>
    <x:row r="108">
      <x:c r="A108" s="23" t="str">
        <x:v>2024-06</x:v>
      </x:c>
      <x:c r="B108" s="23" t="str">
        <x:v>2024-06-30</x:v>
      </x:c>
      <x:c r="C108" s="23" t="str">
        <x:v>1400</x:v>
      </x:c>
      <x:c r="D108" s="23" t="str">
        <x:v>Inmovilizado material neto</x:v>
      </x:c>
      <x:c r="E108" s="24" t="n">
        <x:v>8266359</x:v>
      </x:c>
      <x:c r="F108" s="23" t="str">
        <x:v>ERP simulado</x:v>
      </x:c>
      <x:c r="G108" s="23" t="str">
        <x:v>Actual</x:v>
      </x:c>
      <x:c r="H108" s="23" t="str">
        <x:v>EUR</x:v>
      </x:c>
    </x:row>
    <x:row r="109">
      <x:c r="A109" s="23" t="str">
        <x:v>2024-06</x:v>
      </x:c>
      <x:c r="B109" s="23" t="str">
        <x:v>2024-06-30</x:v>
      </x:c>
      <x:c r="C109" s="23" t="str">
        <x:v>1500</x:v>
      </x:c>
      <x:c r="D109" s="23" t="str">
        <x:v>Activos intangibles netos</x:v>
      </x:c>
      <x:c r="E109" s="24" t="n">
        <x:v>1212750</x:v>
      </x:c>
      <x:c r="F109" s="23" t="str">
        <x:v>ERP simulado</x:v>
      </x:c>
      <x:c r="G109" s="23" t="str">
        <x:v>Actual</x:v>
      </x:c>
      <x:c r="H109" s="23" t="str">
        <x:v>EUR</x:v>
      </x:c>
    </x:row>
    <x:row r="110">
      <x:c r="A110" s="23" t="str">
        <x:v>2024-06</x:v>
      </x:c>
      <x:c r="B110" s="23" t="str">
        <x:v>2024-06-30</x:v>
      </x:c>
      <x:c r="C110" s="23" t="str">
        <x:v>1600</x:v>
      </x:c>
      <x:c r="D110" s="23" t="str">
        <x:v>Otros activos no corrientes</x:v>
      </x:c>
      <x:c r="E110" s="24" t="n">
        <x:v>800000</x:v>
      </x:c>
      <x:c r="F110" s="23" t="str">
        <x:v>ERP simulado</x:v>
      </x:c>
      <x:c r="G110" s="23" t="str">
        <x:v>Actual</x:v>
      </x:c>
      <x:c r="H110" s="23" t="str">
        <x:v>EUR</x:v>
      </x:c>
    </x:row>
    <x:row r="111">
      <x:c r="A111" s="23" t="str">
        <x:v>2024-06</x:v>
      </x:c>
      <x:c r="B111" s="23" t="str">
        <x:v>2024-06-30</x:v>
      </x:c>
      <x:c r="C111" s="23" t="str">
        <x:v>2000</x:v>
      </x:c>
      <x:c r="D111" s="23" t="str">
        <x:v>Proveedores</x:v>
      </x:c>
      <x:c r="E111" s="24" t="n">
        <x:v>3209115</x:v>
      </x:c>
      <x:c r="F111" s="23" t="str">
        <x:v>ERP simulado</x:v>
      </x:c>
      <x:c r="G111" s="23" t="str">
        <x:v>Actual</x:v>
      </x:c>
      <x:c r="H111" s="23" t="str">
        <x:v>EUR</x:v>
      </x:c>
    </x:row>
    <x:row r="112">
      <x:c r="A112" s="23" t="str">
        <x:v>2024-06</x:v>
      </x:c>
      <x:c r="B112" s="23" t="str">
        <x:v>2024-06-30</x:v>
      </x:c>
      <x:c r="C112" s="23" t="str">
        <x:v>2100</x:v>
      </x:c>
      <x:c r="D112" s="23" t="str">
        <x:v>Acreedores y gastos devengados</x:v>
      </x:c>
      <x:c r="E112" s="24" t="n">
        <x:v>931944</x:v>
      </x:c>
      <x:c r="F112" s="23" t="str">
        <x:v>ERP simulado</x:v>
      </x:c>
      <x:c r="G112" s="23" t="str">
        <x:v>Actual</x:v>
      </x:c>
      <x:c r="H112" s="23" t="str">
        <x:v>EUR</x:v>
      </x:c>
    </x:row>
    <x:row r="113">
      <x:c r="A113" s="23" t="str">
        <x:v>2024-06</x:v>
      </x:c>
      <x:c r="B113" s="23" t="str">
        <x:v>2024-06-30</x:v>
      </x:c>
      <x:c r="C113" s="23" t="str">
        <x:v>2200</x:v>
      </x:c>
      <x:c r="D113" s="23" t="str">
        <x:v>Impuestos a pagar</x:v>
      </x:c>
      <x:c r="E113" s="24" t="n">
        <x:v>121550</x:v>
      </x:c>
      <x:c r="F113" s="23" t="str">
        <x:v>ERP simulado</x:v>
      </x:c>
      <x:c r="G113" s="23" t="str">
        <x:v>Actual</x:v>
      </x:c>
      <x:c r="H113" s="23" t="str">
        <x:v>EUR</x:v>
      </x:c>
    </x:row>
    <x:row r="114">
      <x:c r="A114" s="23" t="str">
        <x:v>2024-06</x:v>
      </x:c>
      <x:c r="B114" s="23" t="str">
        <x:v>2024-06-30</x:v>
      </x:c>
      <x:c r="C114" s="23" t="str">
        <x:v>2300</x:v>
      </x:c>
      <x:c r="D114" s="23" t="str">
        <x:v>Deuda financiera corriente</x:v>
      </x:c>
      <x:c r="E114" s="24" t="n">
        <x:v>1150000</x:v>
      </x:c>
      <x:c r="F114" s="23" t="str">
        <x:v>ERP simulado</x:v>
      </x:c>
      <x:c r="G114" s="23" t="str">
        <x:v>Actual</x:v>
      </x:c>
      <x:c r="H114" s="23" t="str">
        <x:v>EUR</x:v>
      </x:c>
    </x:row>
    <x:row r="115">
      <x:c r="A115" s="23" t="str">
        <x:v>2024-06</x:v>
      </x:c>
      <x:c r="B115" s="23" t="str">
        <x:v>2024-06-30</x:v>
      </x:c>
      <x:c r="C115" s="23" t="str">
        <x:v>2400</x:v>
      </x:c>
      <x:c r="D115" s="23" t="str">
        <x:v>Pasivos por arrendamiento corrientes</x:v>
      </x:c>
      <x:c r="E115" s="24" t="n">
        <x:v>255000</x:v>
      </x:c>
      <x:c r="F115" s="23" t="str">
        <x:v>ERP simulado</x:v>
      </x:c>
      <x:c r="G115" s="23" t="str">
        <x:v>Actual</x:v>
      </x:c>
      <x:c r="H115" s="23" t="str">
        <x:v>EUR</x:v>
      </x:c>
    </x:row>
    <x:row r="116">
      <x:c r="A116" s="23" t="str">
        <x:v>2024-06</x:v>
      </x:c>
      <x:c r="B116" s="23" t="str">
        <x:v>2024-06-30</x:v>
      </x:c>
      <x:c r="C116" s="23" t="str">
        <x:v>2500</x:v>
      </x:c>
      <x:c r="D116" s="23" t="str">
        <x:v>Deuda financiera no corriente</x:v>
      </x:c>
      <x:c r="E116" s="24" t="n">
        <x:v>4600000</x:v>
      </x:c>
      <x:c r="F116" s="23" t="str">
        <x:v>ERP simulado</x:v>
      </x:c>
      <x:c r="G116" s="23" t="str">
        <x:v>Actual</x:v>
      </x:c>
      <x:c r="H116" s="23" t="str">
        <x:v>EUR</x:v>
      </x:c>
    </x:row>
    <x:row r="117">
      <x:c r="A117" s="23" t="str">
        <x:v>2024-06</x:v>
      </x:c>
      <x:c r="B117" s="23" t="str">
        <x:v>2024-06-30</x:v>
      </x:c>
      <x:c r="C117" s="23" t="str">
        <x:v>2600</x:v>
      </x:c>
      <x:c r="D117" s="23" t="str">
        <x:v>Pasivos por arrendamiento no corrientes</x:v>
      </x:c>
      <x:c r="E117" s="24" t="n">
        <x:v>595000</x:v>
      </x:c>
      <x:c r="F117" s="23" t="str">
        <x:v>ERP simulado</x:v>
      </x:c>
      <x:c r="G117" s="23" t="str">
        <x:v>Actual</x:v>
      </x:c>
      <x:c r="H117" s="23" t="str">
        <x:v>EUR</x:v>
      </x:c>
    </x:row>
    <x:row r="118">
      <x:c r="A118" s="23" t="str">
        <x:v>2024-06</x:v>
      </x:c>
      <x:c r="B118" s="23" t="str">
        <x:v>2024-06-30</x:v>
      </x:c>
      <x:c r="C118" s="23" t="str">
        <x:v>2700</x:v>
      </x:c>
      <x:c r="D118" s="23" t="str">
        <x:v>Otros pasivos</x:v>
      </x:c>
      <x:c r="E118" s="24" t="n">
        <x:v>800000</x:v>
      </x:c>
      <x:c r="F118" s="23" t="str">
        <x:v>ERP simulado</x:v>
      </x:c>
      <x:c r="G118" s="23" t="str">
        <x:v>Actual</x:v>
      </x:c>
      <x:c r="H118" s="23" t="str">
        <x:v>EUR</x:v>
      </x:c>
    </x:row>
    <x:row r="119">
      <x:c r="A119" s="23" t="str">
        <x:v>2024-06</x:v>
      </x:c>
      <x:c r="B119" s="23" t="str">
        <x:v>2024-06-30</x:v>
      </x:c>
      <x:c r="C119" s="23" t="str">
        <x:v>3000</x:v>
      </x:c>
      <x:c r="D119" s="23" t="str">
        <x:v>Capital social</x:v>
      </x:c>
      <x:c r="E119" s="24" t="n">
        <x:v>5000000</x:v>
      </x:c>
      <x:c r="F119" s="23" t="str">
        <x:v>ERP simulado</x:v>
      </x:c>
      <x:c r="G119" s="23" t="str">
        <x:v>Actual</x:v>
      </x:c>
      <x:c r="H119" s="23" t="str">
        <x:v>EUR</x:v>
      </x:c>
    </x:row>
    <x:row r="120">
      <x:c r="A120" s="23" t="str">
        <x:v>2024-06</x:v>
      </x:c>
      <x:c r="B120" s="23" t="str">
        <x:v>2024-06-30</x:v>
      </x:c>
      <x:c r="C120" s="23" t="str">
        <x:v>3100</x:v>
      </x:c>
      <x:c r="D120" s="23" t="str">
        <x:v>Resultados acumulados</x:v>
      </x:c>
      <x:c r="E120" s="24" t="n">
        <x:v>5667390</x:v>
      </x:c>
      <x:c r="F120" s="23" t="str">
        <x:v>ERP simulado</x:v>
      </x:c>
      <x:c r="G120" s="23" t="str">
        <x:v>Actual</x:v>
      </x:c>
      <x:c r="H120" s="23" t="str">
        <x:v>EUR</x:v>
      </x:c>
    </x:row>
    <x:row r="121">
      <x:c r="A121" s="23" t="str">
        <x:v>2024-07</x:v>
      </x:c>
      <x:c r="B121" s="23" t="str">
        <x:v>2024-07-31</x:v>
      </x:c>
      <x:c r="C121" s="23" t="str">
        <x:v>1000</x:v>
      </x:c>
      <x:c r="D121" s="23" t="str">
        <x:v>Efectivo y equivalentes</x:v>
      </x:c>
      <x:c r="E121" s="24" t="n">
        <x:v>2908304</x:v>
      </x:c>
      <x:c r="F121" s="23" t="str">
        <x:v>ERP simulado</x:v>
      </x:c>
      <x:c r="G121" s="23" t="str">
        <x:v>Actual</x:v>
      </x:c>
      <x:c r="H121" s="23" t="str">
        <x:v>EUR</x:v>
      </x:c>
    </x:row>
    <x:row r="122">
      <x:c r="A122" s="23" t="str">
        <x:v>2024-07</x:v>
      </x:c>
      <x:c r="B122" s="23" t="str">
        <x:v>2024-07-31</x:v>
      </x:c>
      <x:c r="C122" s="23" t="str">
        <x:v>1100</x:v>
      </x:c>
      <x:c r="D122" s="23" t="str">
        <x:v>Clientes</x:v>
      </x:c>
      <x:c r="E122" s="24" t="n">
        <x:v>5358022</x:v>
      </x:c>
      <x:c r="F122" s="23" t="str">
        <x:v>ERP simulado</x:v>
      </x:c>
      <x:c r="G122" s="23" t="str">
        <x:v>Actual</x:v>
      </x:c>
      <x:c r="H122" s="23" t="str">
        <x:v>EUR</x:v>
      </x:c>
    </x:row>
    <x:row r="123">
      <x:c r="A123" s="23" t="str">
        <x:v>2024-07</x:v>
      </x:c>
      <x:c r="B123" s="23" t="str">
        <x:v>2024-07-31</x:v>
      </x:c>
      <x:c r="C123" s="23" t="str">
        <x:v>1200</x:v>
      </x:c>
      <x:c r="D123" s="23" t="str">
        <x:v>Existencias</x:v>
      </x:c>
      <x:c r="E123" s="24" t="n">
        <x:v>3004369</x:v>
      </x:c>
      <x:c r="F123" s="23" t="str">
        <x:v>ERP simulado</x:v>
      </x:c>
      <x:c r="G123" s="23" t="str">
        <x:v>Actual</x:v>
      </x:c>
      <x:c r="H123" s="23" t="str">
        <x:v>EUR</x:v>
      </x:c>
    </x:row>
    <x:row r="124">
      <x:c r="A124" s="23" t="str">
        <x:v>2024-07</x:v>
      </x:c>
      <x:c r="B124" s="23" t="str">
        <x:v>2024-07-31</x:v>
      </x:c>
      <x:c r="C124" s="23" t="str">
        <x:v>1300</x:v>
      </x:c>
      <x:c r="D124" s="23" t="str">
        <x:v>Pagos anticipados y otros activos corrientes</x:v>
      </x:c>
      <x:c r="E124" s="24" t="n">
        <x:v>611996</x:v>
      </x:c>
      <x:c r="F124" s="23" t="str">
        <x:v>ERP simulado</x:v>
      </x:c>
      <x:c r="G124" s="23" t="str">
        <x:v>Actual</x:v>
      </x:c>
      <x:c r="H124" s="23" t="str">
        <x:v>EUR</x:v>
      </x:c>
    </x:row>
    <x:row r="125">
      <x:c r="A125" s="23" t="str">
        <x:v>2024-07</x:v>
      </x:c>
      <x:c r="B125" s="23" t="str">
        <x:v>2024-07-31</x:v>
      </x:c>
      <x:c r="C125" s="23" t="str">
        <x:v>1400</x:v>
      </x:c>
      <x:c r="D125" s="23" t="str">
        <x:v>Inmovilizado material neto</x:v>
      </x:c>
      <x:c r="E125" s="24" t="n">
        <x:v>8309091</x:v>
      </x:c>
      <x:c r="F125" s="23" t="str">
        <x:v>ERP simulado</x:v>
      </x:c>
      <x:c r="G125" s="23" t="str">
        <x:v>Actual</x:v>
      </x:c>
      <x:c r="H125" s="23" t="str">
        <x:v>EUR</x:v>
      </x:c>
    </x:row>
    <x:row r="126">
      <x:c r="A126" s="23" t="str">
        <x:v>2024-07</x:v>
      </x:c>
      <x:c r="B126" s="23" t="str">
        <x:v>2024-07-31</x:v>
      </x:c>
      <x:c r="C126" s="23" t="str">
        <x:v>1500</x:v>
      </x:c>
      <x:c r="D126" s="23" t="str">
        <x:v>Activos intangibles netos</x:v>
      </x:c>
      <x:c r="E126" s="24" t="n">
        <x:v>1203650</x:v>
      </x:c>
      <x:c r="F126" s="23" t="str">
        <x:v>ERP simulado</x:v>
      </x:c>
      <x:c r="G126" s="23" t="str">
        <x:v>Actual</x:v>
      </x:c>
      <x:c r="H126" s="23" t="str">
        <x:v>EUR</x:v>
      </x:c>
    </x:row>
    <x:row r="127">
      <x:c r="A127" s="23" t="str">
        <x:v>2024-07</x:v>
      </x:c>
      <x:c r="B127" s="23" t="str">
        <x:v>2024-07-31</x:v>
      </x:c>
      <x:c r="C127" s="23" t="str">
        <x:v>1600</x:v>
      </x:c>
      <x:c r="D127" s="23" t="str">
        <x:v>Otros activos no corrientes</x:v>
      </x:c>
      <x:c r="E127" s="24" t="n">
        <x:v>800000</x:v>
      </x:c>
      <x:c r="F127" s="23" t="str">
        <x:v>ERP simulado</x:v>
      </x:c>
      <x:c r="G127" s="23" t="str">
        <x:v>Actual</x:v>
      </x:c>
      <x:c r="H127" s="23" t="str">
        <x:v>EUR</x:v>
      </x:c>
    </x:row>
    <x:row r="128">
      <x:c r="A128" s="23" t="str">
        <x:v>2024-07</x:v>
      </x:c>
      <x:c r="B128" s="23" t="str">
        <x:v>2024-07-31</x:v>
      </x:c>
      <x:c r="C128" s="23" t="str">
        <x:v>2000</x:v>
      </x:c>
      <x:c r="D128" s="23" t="str">
        <x:v>Proveedores</x:v>
      </x:c>
      <x:c r="E128" s="24" t="n">
        <x:v>2924904</x:v>
      </x:c>
      <x:c r="F128" s="23" t="str">
        <x:v>ERP simulado</x:v>
      </x:c>
      <x:c r="G128" s="23" t="str">
        <x:v>Actual</x:v>
      </x:c>
      <x:c r="H128" s="23" t="str">
        <x:v>EUR</x:v>
      </x:c>
    </x:row>
    <x:row r="129">
      <x:c r="A129" s="23" t="str">
        <x:v>2024-07</x:v>
      </x:c>
      <x:c r="B129" s="23" t="str">
        <x:v>2024-07-31</x:v>
      </x:c>
      <x:c r="C129" s="23" t="str">
        <x:v>2100</x:v>
      </x:c>
      <x:c r="D129" s="23" t="str">
        <x:v>Acreedores y gastos devengados</x:v>
      </x:c>
      <x:c r="E129" s="24" t="n">
        <x:v>874280</x:v>
      </x:c>
      <x:c r="F129" s="23" t="str">
        <x:v>ERP simulado</x:v>
      </x:c>
      <x:c r="G129" s="23" t="str">
        <x:v>Actual</x:v>
      </x:c>
      <x:c r="H129" s="23" t="str">
        <x:v>EUR</x:v>
      </x:c>
    </x:row>
    <x:row r="130">
      <x:c r="A130" s="23" t="str">
        <x:v>2024-07</x:v>
      </x:c>
      <x:c r="B130" s="23" t="str">
        <x:v>2024-07-31</x:v>
      </x:c>
      <x:c r="C130" s="23" t="str">
        <x:v>2200</x:v>
      </x:c>
      <x:c r="D130" s="23" t="str">
        <x:v>Impuestos a pagar</x:v>
      </x:c>
      <x:c r="E130" s="24" t="n">
        <x:v>109818</x:v>
      </x:c>
      <x:c r="F130" s="23" t="str">
        <x:v>ERP simulado</x:v>
      </x:c>
      <x:c r="G130" s="23" t="str">
        <x:v>Actual</x:v>
      </x:c>
      <x:c r="H130" s="23" t="str">
        <x:v>EUR</x:v>
      </x:c>
    </x:row>
    <x:row r="131">
      <x:c r="A131" s="23" t="str">
        <x:v>2024-07</x:v>
      </x:c>
      <x:c r="B131" s="23" t="str">
        <x:v>2024-07-31</x:v>
      </x:c>
      <x:c r="C131" s="23" t="str">
        <x:v>2300</x:v>
      </x:c>
      <x:c r="D131" s="23" t="str">
        <x:v>Deuda financiera corriente</x:v>
      </x:c>
      <x:c r="E131" s="24" t="n">
        <x:v>1150000</x:v>
      </x:c>
      <x:c r="F131" s="23" t="str">
        <x:v>ERP simulado</x:v>
      </x:c>
      <x:c r="G131" s="23" t="str">
        <x:v>Actual</x:v>
      </x:c>
      <x:c r="H131" s="23" t="str">
        <x:v>EUR</x:v>
      </x:c>
    </x:row>
    <x:row r="132">
      <x:c r="A132" s="23" t="str">
        <x:v>2024-07</x:v>
      </x:c>
      <x:c r="B132" s="23" t="str">
        <x:v>2024-07-31</x:v>
      </x:c>
      <x:c r="C132" s="23" t="str">
        <x:v>2400</x:v>
      </x:c>
      <x:c r="D132" s="23" t="str">
        <x:v>Pasivos por arrendamiento corrientes</x:v>
      </x:c>
      <x:c r="E132" s="24" t="n">
        <x:v>247500</x:v>
      </x:c>
      <x:c r="F132" s="23" t="str">
        <x:v>ERP simulado</x:v>
      </x:c>
      <x:c r="G132" s="23" t="str">
        <x:v>Actual</x:v>
      </x:c>
      <x:c r="H132" s="23" t="str">
        <x:v>EUR</x:v>
      </x:c>
    </x:row>
    <x:row r="133">
      <x:c r="A133" s="23" t="str">
        <x:v>2024-07</x:v>
      </x:c>
      <x:c r="B133" s="23" t="str">
        <x:v>2024-07-31</x:v>
      </x:c>
      <x:c r="C133" s="23" t="str">
        <x:v>2500</x:v>
      </x:c>
      <x:c r="D133" s="23" t="str">
        <x:v>Deuda financiera no corriente</x:v>
      </x:c>
      <x:c r="E133" s="24" t="n">
        <x:v>4600000</x:v>
      </x:c>
      <x:c r="F133" s="23" t="str">
        <x:v>ERP simulado</x:v>
      </x:c>
      <x:c r="G133" s="23" t="str">
        <x:v>Actual</x:v>
      </x:c>
      <x:c r="H133" s="23" t="str">
        <x:v>EUR</x:v>
      </x:c>
    </x:row>
    <x:row r="134">
      <x:c r="A134" s="23" t="str">
        <x:v>2024-07</x:v>
      </x:c>
      <x:c r="B134" s="23" t="str">
        <x:v>2024-07-31</x:v>
      </x:c>
      <x:c r="C134" s="23" t="str">
        <x:v>2600</x:v>
      </x:c>
      <x:c r="D134" s="23" t="str">
        <x:v>Pasivos por arrendamiento no corrientes</x:v>
      </x:c>
      <x:c r="E134" s="24" t="n">
        <x:v>577500</x:v>
      </x:c>
      <x:c r="F134" s="23" t="str">
        <x:v>ERP simulado</x:v>
      </x:c>
      <x:c r="G134" s="23" t="str">
        <x:v>Actual</x:v>
      </x:c>
      <x:c r="H134" s="23" t="str">
        <x:v>EUR</x:v>
      </x:c>
    </x:row>
    <x:row r="135">
      <x:c r="A135" s="23" t="str">
        <x:v>2024-07</x:v>
      </x:c>
      <x:c r="B135" s="23" t="str">
        <x:v>2024-07-31</x:v>
      </x:c>
      <x:c r="C135" s="23" t="str">
        <x:v>2700</x:v>
      </x:c>
      <x:c r="D135" s="23" t="str">
        <x:v>Otros pasivos</x:v>
      </x:c>
      <x:c r="E135" s="24" t="n">
        <x:v>800000</x:v>
      </x:c>
      <x:c r="F135" s="23" t="str">
        <x:v>ERP simulado</x:v>
      </x:c>
      <x:c r="G135" s="23" t="str">
        <x:v>Actual</x:v>
      </x:c>
      <x:c r="H135" s="23" t="str">
        <x:v>EUR</x:v>
      </x:c>
    </x:row>
    <x:row r="136">
      <x:c r="A136" s="23" t="str">
        <x:v>2024-07</x:v>
      </x:c>
      <x:c r="B136" s="23" t="str">
        <x:v>2024-07-31</x:v>
      </x:c>
      <x:c r="C136" s="23" t="str">
        <x:v>3000</x:v>
      </x:c>
      <x:c r="D136" s="23" t="str">
        <x:v>Capital social</x:v>
      </x:c>
      <x:c r="E136" s="24" t="n">
        <x:v>5000000</x:v>
      </x:c>
      <x:c r="F136" s="23" t="str">
        <x:v>ERP simulado</x:v>
      </x:c>
      <x:c r="G136" s="23" t="str">
        <x:v>Actual</x:v>
      </x:c>
      <x:c r="H136" s="23" t="str">
        <x:v>EUR</x:v>
      </x:c>
    </x:row>
    <x:row r="137">
      <x:c r="A137" s="23" t="str">
        <x:v>2024-07</x:v>
      </x:c>
      <x:c r="B137" s="23" t="str">
        <x:v>2024-07-31</x:v>
      </x:c>
      <x:c r="C137" s="23" t="str">
        <x:v>3100</x:v>
      </x:c>
      <x:c r="D137" s="23" t="str">
        <x:v>Resultados acumulados</x:v>
      </x:c>
      <x:c r="E137" s="24" t="n">
        <x:v>5911430</x:v>
      </x:c>
      <x:c r="F137" s="23" t="str">
        <x:v>ERP simulado</x:v>
      </x:c>
      <x:c r="G137" s="23" t="str">
        <x:v>Actual</x:v>
      </x:c>
      <x:c r="H137" s="23" t="str">
        <x:v>EUR</x:v>
      </x:c>
    </x:row>
    <x:row r="138">
      <x:c r="A138" s="23" t="str">
        <x:v>2024-08</x:v>
      </x:c>
      <x:c r="B138" s="23" t="str">
        <x:v>2024-08-31</x:v>
      </x:c>
      <x:c r="C138" s="23" t="str">
        <x:v>1000</x:v>
      </x:c>
      <x:c r="D138" s="23" t="str">
        <x:v>Efectivo y equivalentes</x:v>
      </x:c>
      <x:c r="E138" s="24" t="n">
        <x:v>3355381</x:v>
      </x:c>
      <x:c r="F138" s="23" t="str">
        <x:v>ERP simulado</x:v>
      </x:c>
      <x:c r="G138" s="23" t="str">
        <x:v>Actual</x:v>
      </x:c>
      <x:c r="H138" s="23" t="str">
        <x:v>EUR</x:v>
      </x:c>
    </x:row>
    <x:row r="139">
      <x:c r="A139" s="23" t="str">
        <x:v>2024-08</x:v>
      </x:c>
      <x:c r="B139" s="23" t="str">
        <x:v>2024-08-31</x:v>
      </x:c>
      <x:c r="C139" s="23" t="str">
        <x:v>1100</x:v>
      </x:c>
      <x:c r="D139" s="23" t="str">
        <x:v>Clientes</x:v>
      </x:c>
      <x:c r="E139" s="24" t="n">
        <x:v>5108844</x:v>
      </x:c>
      <x:c r="F139" s="23" t="str">
        <x:v>ERP simulado</x:v>
      </x:c>
      <x:c r="G139" s="23" t="str">
        <x:v>Actual</x:v>
      </x:c>
      <x:c r="H139" s="23" t="str">
        <x:v>EUR</x:v>
      </x:c>
    </x:row>
    <x:row r="140">
      <x:c r="A140" s="23" t="str">
        <x:v>2024-08</x:v>
      </x:c>
      <x:c r="B140" s="23" t="str">
        <x:v>2024-08-31</x:v>
      </x:c>
      <x:c r="C140" s="23" t="str">
        <x:v>1200</x:v>
      </x:c>
      <x:c r="D140" s="23" t="str">
        <x:v>Existencias</x:v>
      </x:c>
      <x:c r="E140" s="24" t="n">
        <x:v>2834845</x:v>
      </x:c>
      <x:c r="F140" s="23" t="str">
        <x:v>ERP simulado</x:v>
      </x:c>
      <x:c r="G140" s="23" t="str">
        <x:v>Actual</x:v>
      </x:c>
      <x:c r="H140" s="23" t="str">
        <x:v>EUR</x:v>
      </x:c>
    </x:row>
    <x:row r="141">
      <x:c r="A141" s="23" t="str">
        <x:v>2024-08</x:v>
      </x:c>
      <x:c r="B141" s="23" t="str">
        <x:v>2024-08-31</x:v>
      </x:c>
      <x:c r="C141" s="23" t="str">
        <x:v>1300</x:v>
      </x:c>
      <x:c r="D141" s="23" t="str">
        <x:v>Pagos anticipados y otros activos corrientes</x:v>
      </x:c>
      <x:c r="E141" s="24" t="n">
        <x:v>583812</x:v>
      </x:c>
      <x:c r="F141" s="23" t="str">
        <x:v>ERP simulado</x:v>
      </x:c>
      <x:c r="G141" s="23" t="str">
        <x:v>Actual</x:v>
      </x:c>
      <x:c r="H141" s="23" t="str">
        <x:v>EUR</x:v>
      </x:c>
    </x:row>
    <x:row r="142">
      <x:c r="A142" s="23" t="str">
        <x:v>2024-08</x:v>
      </x:c>
      <x:c r="B142" s="23" t="str">
        <x:v>2024-08-31</x:v>
      </x:c>
      <x:c r="C142" s="23" t="str">
        <x:v>1400</x:v>
      </x:c>
      <x:c r="D142" s="23" t="str">
        <x:v>Inmovilizado material neto</x:v>
      </x:c>
      <x:c r="E142" s="24" t="n">
        <x:v>8344668</x:v>
      </x:c>
      <x:c r="F142" s="23" t="str">
        <x:v>ERP simulado</x:v>
      </x:c>
      <x:c r="G142" s="23" t="str">
        <x:v>Actual</x:v>
      </x:c>
      <x:c r="H142" s="23" t="str">
        <x:v>EUR</x:v>
      </x:c>
    </x:row>
    <x:row r="143">
      <x:c r="A143" s="23" t="str">
        <x:v>2024-08</x:v>
      </x:c>
      <x:c r="B143" s="23" t="str">
        <x:v>2024-08-31</x:v>
      </x:c>
      <x:c r="C143" s="23" t="str">
        <x:v>1500</x:v>
      </x:c>
      <x:c r="D143" s="23" t="str">
        <x:v>Activos intangibles netos</x:v>
      </x:c>
      <x:c r="E143" s="24" t="n">
        <x:v>1194200</x:v>
      </x:c>
      <x:c r="F143" s="23" t="str">
        <x:v>ERP simulado</x:v>
      </x:c>
      <x:c r="G143" s="23" t="str">
        <x:v>Actual</x:v>
      </x:c>
      <x:c r="H143" s="23" t="str">
        <x:v>EUR</x:v>
      </x:c>
    </x:row>
    <x:row r="144">
      <x:c r="A144" s="23" t="str">
        <x:v>2024-08</x:v>
      </x:c>
      <x:c r="B144" s="23" t="str">
        <x:v>2024-08-31</x:v>
      </x:c>
      <x:c r="C144" s="23" t="str">
        <x:v>1600</x:v>
      </x:c>
      <x:c r="D144" s="23" t="str">
        <x:v>Otros activos no corrientes</x:v>
      </x:c>
      <x:c r="E144" s="24" t="n">
        <x:v>800000</x:v>
      </x:c>
      <x:c r="F144" s="23" t="str">
        <x:v>ERP simulado</x:v>
      </x:c>
      <x:c r="G144" s="23" t="str">
        <x:v>Actual</x:v>
      </x:c>
      <x:c r="H144" s="23" t="str">
        <x:v>EUR</x:v>
      </x:c>
    </x:row>
    <x:row r="145">
      <x:c r="A145" s="23" t="str">
        <x:v>2024-08</x:v>
      </x:c>
      <x:c r="B145" s="23" t="str">
        <x:v>2024-08-31</x:v>
      </x:c>
      <x:c r="C145" s="23" t="str">
        <x:v>2000</x:v>
      </x:c>
      <x:c r="D145" s="23" t="str">
        <x:v>Proveedores</x:v>
      </x:c>
      <x:c r="E145" s="24" t="n">
        <x:v>2798619</x:v>
      </x:c>
      <x:c r="F145" s="23" t="str">
        <x:v>ERP simulado</x:v>
      </x:c>
      <x:c r="G145" s="23" t="str">
        <x:v>Actual</x:v>
      </x:c>
      <x:c r="H145" s="23" t="str">
        <x:v>EUR</x:v>
      </x:c>
    </x:row>
    <x:row r="146">
      <x:c r="A146" s="23" t="str">
        <x:v>2024-08</x:v>
      </x:c>
      <x:c r="B146" s="23" t="str">
        <x:v>2024-08-31</x:v>
      </x:c>
      <x:c r="C146" s="23" t="str">
        <x:v>2100</x:v>
      </x:c>
      <x:c r="D146" s="23" t="str">
        <x:v>Acreedores y gastos devengados</x:v>
      </x:c>
      <x:c r="E146" s="24" t="n">
        <x:v>834017</x:v>
      </x:c>
      <x:c r="F146" s="23" t="str">
        <x:v>ERP simulado</x:v>
      </x:c>
      <x:c r="G146" s="23" t="str">
        <x:v>Actual</x:v>
      </x:c>
      <x:c r="H146" s="23" t="str">
        <x:v>EUR</x:v>
      </x:c>
    </x:row>
    <x:row r="147">
      <x:c r="A147" s="23" t="str">
        <x:v>2024-08</x:v>
      </x:c>
      <x:c r="B147" s="23" t="str">
        <x:v>2024-08-31</x:v>
      </x:c>
      <x:c r="C147" s="23" t="str">
        <x:v>2200</x:v>
      </x:c>
      <x:c r="D147" s="23" t="str">
        <x:v>Impuestos a pagar</x:v>
      </x:c>
      <x:c r="E147" s="24" t="n">
        <x:v>101696</x:v>
      </x:c>
      <x:c r="F147" s="23" t="str">
        <x:v>ERP simulado</x:v>
      </x:c>
      <x:c r="G147" s="23" t="str">
        <x:v>Actual</x:v>
      </x:c>
      <x:c r="H147" s="23" t="str">
        <x:v>EUR</x:v>
      </x:c>
    </x:row>
    <x:row r="148">
      <x:c r="A148" s="23" t="str">
        <x:v>2024-08</x:v>
      </x:c>
      <x:c r="B148" s="23" t="str">
        <x:v>2024-08-31</x:v>
      </x:c>
      <x:c r="C148" s="23" t="str">
        <x:v>2300</x:v>
      </x:c>
      <x:c r="D148" s="23" t="str">
        <x:v>Deuda financiera corriente</x:v>
      </x:c>
      <x:c r="E148" s="24" t="n">
        <x:v>1150000</x:v>
      </x:c>
      <x:c r="F148" s="23" t="str">
        <x:v>ERP simulado</x:v>
      </x:c>
      <x:c r="G148" s="23" t="str">
        <x:v>Actual</x:v>
      </x:c>
      <x:c r="H148" s="23" t="str">
        <x:v>EUR</x:v>
      </x:c>
    </x:row>
    <x:row r="149">
      <x:c r="A149" s="23" t="str">
        <x:v>2024-08</x:v>
      </x:c>
      <x:c r="B149" s="23" t="str">
        <x:v>2024-08-31</x:v>
      </x:c>
      <x:c r="C149" s="23" t="str">
        <x:v>2400</x:v>
      </x:c>
      <x:c r="D149" s="23" t="str">
        <x:v>Pasivos por arrendamiento corrientes</x:v>
      </x:c>
      <x:c r="E149" s="24" t="n">
        <x:v>240000</x:v>
      </x:c>
      <x:c r="F149" s="23" t="str">
        <x:v>ERP simulado</x:v>
      </x:c>
      <x:c r="G149" s="23" t="str">
        <x:v>Actual</x:v>
      </x:c>
      <x:c r="H149" s="23" t="str">
        <x:v>EUR</x:v>
      </x:c>
    </x:row>
    <x:row r="150">
      <x:c r="A150" s="23" t="str">
        <x:v>2024-08</x:v>
      </x:c>
      <x:c r="B150" s="23" t="str">
        <x:v>2024-08-31</x:v>
      </x:c>
      <x:c r="C150" s="23" t="str">
        <x:v>2500</x:v>
      </x:c>
      <x:c r="D150" s="23" t="str">
        <x:v>Deuda financiera no corriente</x:v>
      </x:c>
      <x:c r="E150" s="24" t="n">
        <x:v>4600000</x:v>
      </x:c>
      <x:c r="F150" s="23" t="str">
        <x:v>ERP simulado</x:v>
      </x:c>
      <x:c r="G150" s="23" t="str">
        <x:v>Actual</x:v>
      </x:c>
      <x:c r="H150" s="23" t="str">
        <x:v>EUR</x:v>
      </x:c>
    </x:row>
    <x:row r="151">
      <x:c r="A151" s="23" t="str">
        <x:v>2024-08</x:v>
      </x:c>
      <x:c r="B151" s="23" t="str">
        <x:v>2024-08-31</x:v>
      </x:c>
      <x:c r="C151" s="23" t="str">
        <x:v>2600</x:v>
      </x:c>
      <x:c r="D151" s="23" t="str">
        <x:v>Pasivos por arrendamiento no corrientes</x:v>
      </x:c>
      <x:c r="E151" s="24" t="n">
        <x:v>560000</x:v>
      </x:c>
      <x:c r="F151" s="23" t="str">
        <x:v>ERP simulado</x:v>
      </x:c>
      <x:c r="G151" s="23" t="str">
        <x:v>Actual</x:v>
      </x:c>
      <x:c r="H151" s="23" t="str">
        <x:v>EUR</x:v>
      </x:c>
    </x:row>
    <x:row r="152">
      <x:c r="A152" s="23" t="str">
        <x:v>2024-08</x:v>
      </x:c>
      <x:c r="B152" s="23" t="str">
        <x:v>2024-08-31</x:v>
      </x:c>
      <x:c r="C152" s="23" t="str">
        <x:v>2700</x:v>
      </x:c>
      <x:c r="D152" s="23" t="str">
        <x:v>Otros pasivos</x:v>
      </x:c>
      <x:c r="E152" s="24" t="n">
        <x:v>800000</x:v>
      </x:c>
      <x:c r="F152" s="23" t="str">
        <x:v>ERP simulado</x:v>
      </x:c>
      <x:c r="G152" s="23" t="str">
        <x:v>Actual</x:v>
      </x:c>
      <x:c r="H152" s="23" t="str">
        <x:v>EUR</x:v>
      </x:c>
    </x:row>
    <x:row r="153">
      <x:c r="A153" s="23" t="str">
        <x:v>2024-08</x:v>
      </x:c>
      <x:c r="B153" s="23" t="str">
        <x:v>2024-08-31</x:v>
      </x:c>
      <x:c r="C153" s="23" t="str">
        <x:v>3000</x:v>
      </x:c>
      <x:c r="D153" s="23" t="str">
        <x:v>Capital social</x:v>
      </x:c>
      <x:c r="E153" s="24" t="n">
        <x:v>5000000</x:v>
      </x:c>
      <x:c r="F153" s="23" t="str">
        <x:v>ERP simulado</x:v>
      </x:c>
      <x:c r="G153" s="23" t="str">
        <x:v>Actual</x:v>
      </x:c>
      <x:c r="H153" s="23" t="str">
        <x:v>EUR</x:v>
      </x:c>
    </x:row>
    <x:row r="154">
      <x:c r="A154" s="23" t="str">
        <x:v>2024-08</x:v>
      </x:c>
      <x:c r="B154" s="23" t="str">
        <x:v>2024-08-31</x:v>
      </x:c>
      <x:c r="C154" s="23" t="str">
        <x:v>3100</x:v>
      </x:c>
      <x:c r="D154" s="23" t="str">
        <x:v>Resultados acumulados</x:v>
      </x:c>
      <x:c r="E154" s="24" t="n">
        <x:v>6137418</x:v>
      </x:c>
      <x:c r="F154" s="23" t="str">
        <x:v>ERP simulado</x:v>
      </x:c>
      <x:c r="G154" s="23" t="str">
        <x:v>Actual</x:v>
      </x:c>
      <x:c r="H154" s="23" t="str">
        <x:v>EUR</x:v>
      </x:c>
    </x:row>
    <x:row r="155">
      <x:c r="A155" s="23" t="str">
        <x:v>2024-09</x:v>
      </x:c>
      <x:c r="B155" s="23" t="str">
        <x:v>2024-09-30</x:v>
      </x:c>
      <x:c r="C155" s="23" t="str">
        <x:v>1000</x:v>
      </x:c>
      <x:c r="D155" s="23" t="str">
        <x:v>Efectivo y equivalentes</x:v>
      </x:c>
      <x:c r="E155" s="24" t="n">
        <x:v>2601357</x:v>
      </x:c>
      <x:c r="F155" s="23" t="str">
        <x:v>ERP simulado</x:v>
      </x:c>
      <x:c r="G155" s="23" t="str">
        <x:v>Actual</x:v>
      </x:c>
      <x:c r="H155" s="23" t="str">
        <x:v>EUR</x:v>
      </x:c>
    </x:row>
    <x:row r="156">
      <x:c r="A156" s="23" t="str">
        <x:v>2024-09</x:v>
      </x:c>
      <x:c r="B156" s="23" t="str">
        <x:v>2024-09-30</x:v>
      </x:c>
      <x:c r="C156" s="23" t="str">
        <x:v>1100</x:v>
      </x:c>
      <x:c r="D156" s="23" t="str">
        <x:v>Clientes</x:v>
      </x:c>
      <x:c r="E156" s="24" t="n">
        <x:v>6043908</x:v>
      </x:c>
      <x:c r="F156" s="23" t="str">
        <x:v>ERP simulado</x:v>
      </x:c>
      <x:c r="G156" s="23" t="str">
        <x:v>Actual</x:v>
      </x:c>
      <x:c r="H156" s="23" t="str">
        <x:v>EUR</x:v>
      </x:c>
    </x:row>
    <x:row r="157">
      <x:c r="A157" s="23" t="str">
        <x:v>2024-09</x:v>
      </x:c>
      <x:c r="B157" s="23" t="str">
        <x:v>2024-09-30</x:v>
      </x:c>
      <x:c r="C157" s="23" t="str">
        <x:v>1200</x:v>
      </x:c>
      <x:c r="D157" s="23" t="str">
        <x:v>Existencias</x:v>
      </x:c>
      <x:c r="E157" s="24" t="n">
        <x:v>3324259</x:v>
      </x:c>
      <x:c r="F157" s="23" t="str">
        <x:v>ERP simulado</x:v>
      </x:c>
      <x:c r="G157" s="23" t="str">
        <x:v>Actual</x:v>
      </x:c>
      <x:c r="H157" s="23" t="str">
        <x:v>EUR</x:v>
      </x:c>
    </x:row>
    <x:row r="158">
      <x:c r="A158" s="23" t="str">
        <x:v>2024-09</x:v>
      </x:c>
      <x:c r="B158" s="23" t="str">
        <x:v>2024-09-30</x:v>
      </x:c>
      <x:c r="C158" s="23" t="str">
        <x:v>1300</x:v>
      </x:c>
      <x:c r="D158" s="23" t="str">
        <x:v>Pagos anticipados y otros activos corrientes</x:v>
      </x:c>
      <x:c r="E158" s="24" t="n">
        <x:v>670144</x:v>
      </x:c>
      <x:c r="F158" s="23" t="str">
        <x:v>ERP simulado</x:v>
      </x:c>
      <x:c r="G158" s="23" t="str">
        <x:v>Actual</x:v>
      </x:c>
      <x:c r="H158" s="23" t="str">
        <x:v>EUR</x:v>
      </x:c>
    </x:row>
    <x:row r="159">
      <x:c r="A159" s="23" t="str">
        <x:v>2024-09</x:v>
      </x:c>
      <x:c r="B159" s="23" t="str">
        <x:v>2024-09-30</x:v>
      </x:c>
      <x:c r="C159" s="23" t="str">
        <x:v>1400</x:v>
      </x:c>
      <x:c r="D159" s="23" t="str">
        <x:v>Inmovilizado material neto</x:v>
      </x:c>
      <x:c r="E159" s="24" t="n">
        <x:v>8371100</x:v>
      </x:c>
      <x:c r="F159" s="23" t="str">
        <x:v>ERP simulado</x:v>
      </x:c>
      <x:c r="G159" s="23" t="str">
        <x:v>Actual</x:v>
      </x:c>
      <x:c r="H159" s="23" t="str">
        <x:v>EUR</x:v>
      </x:c>
    </x:row>
    <x:row r="160">
      <x:c r="A160" s="23" t="str">
        <x:v>2024-09</x:v>
      </x:c>
      <x:c r="B160" s="23" t="str">
        <x:v>2024-09-30</x:v>
      </x:c>
      <x:c r="C160" s="23" t="str">
        <x:v>1500</x:v>
      </x:c>
      <x:c r="D160" s="23" t="str">
        <x:v>Activos intangibles netos</x:v>
      </x:c>
      <x:c r="E160" s="24" t="n">
        <x:v>1214400</x:v>
      </x:c>
      <x:c r="F160" s="23" t="str">
        <x:v>ERP simulado</x:v>
      </x:c>
      <x:c r="G160" s="23" t="str">
        <x:v>Actual</x:v>
      </x:c>
      <x:c r="H160" s="23" t="str">
        <x:v>EUR</x:v>
      </x:c>
    </x:row>
    <x:row r="161">
      <x:c r="A161" s="23" t="str">
        <x:v>2024-09</x:v>
      </x:c>
      <x:c r="B161" s="23" t="str">
        <x:v>2024-09-30</x:v>
      </x:c>
      <x:c r="C161" s="23" t="str">
        <x:v>1600</x:v>
      </x:c>
      <x:c r="D161" s="23" t="str">
        <x:v>Otros activos no corrientes</x:v>
      </x:c>
      <x:c r="E161" s="24" t="n">
        <x:v>800000</x:v>
      </x:c>
      <x:c r="F161" s="23" t="str">
        <x:v>ERP simulado</x:v>
      </x:c>
      <x:c r="G161" s="23" t="str">
        <x:v>Actual</x:v>
      </x:c>
      <x:c r="H161" s="23" t="str">
        <x:v>EUR</x:v>
      </x:c>
    </x:row>
    <x:row r="162">
      <x:c r="A162" s="23" t="str">
        <x:v>2024-09</x:v>
      </x:c>
      <x:c r="B162" s="23" t="str">
        <x:v>2024-09-30</x:v>
      </x:c>
      <x:c r="C162" s="23" t="str">
        <x:v>2000</x:v>
      </x:c>
      <x:c r="D162" s="23" t="str">
        <x:v>Proveedores</x:v>
      </x:c>
      <x:c r="E162" s="24" t="n">
        <x:v>3326275</x:v>
      </x:c>
      <x:c r="F162" s="23" t="str">
        <x:v>ERP simulado</x:v>
      </x:c>
      <x:c r="G162" s="23" t="str">
        <x:v>Actual</x:v>
      </x:c>
      <x:c r="H162" s="23" t="str">
        <x:v>EUR</x:v>
      </x:c>
    </x:row>
    <x:row r="163">
      <x:c r="A163" s="23" t="str">
        <x:v>2024-09</x:v>
      </x:c>
      <x:c r="B163" s="23" t="str">
        <x:v>2024-09-30</x:v>
      </x:c>
      <x:c r="C163" s="23" t="str">
        <x:v>2100</x:v>
      </x:c>
      <x:c r="D163" s="23" t="str">
        <x:v>Acreedores y gastos devengados</x:v>
      </x:c>
      <x:c r="E163" s="24" t="n">
        <x:v>957348</x:v>
      </x:c>
      <x:c r="F163" s="23" t="str">
        <x:v>ERP simulado</x:v>
      </x:c>
      <x:c r="G163" s="23" t="str">
        <x:v>Actual</x:v>
      </x:c>
      <x:c r="H163" s="23" t="str">
        <x:v>EUR</x:v>
      </x:c>
    </x:row>
    <x:row r="164">
      <x:c r="A164" s="23" t="str">
        <x:v>2024-09</x:v>
      </x:c>
      <x:c r="B164" s="23" t="str">
        <x:v>2024-09-30</x:v>
      </x:c>
      <x:c r="C164" s="23" t="str">
        <x:v>2200</x:v>
      </x:c>
      <x:c r="D164" s="23" t="str">
        <x:v>Impuestos a pagar</x:v>
      </x:c>
      <x:c r="E164" s="24" t="n">
        <x:v>125419</x:v>
      </x:c>
      <x:c r="F164" s="23" t="str">
        <x:v>ERP simulado</x:v>
      </x:c>
      <x:c r="G164" s="23" t="str">
        <x:v>Actual</x:v>
      </x:c>
      <x:c r="H164" s="23" t="str">
        <x:v>EUR</x:v>
      </x:c>
    </x:row>
    <x:row r="165">
      <x:c r="A165" s="23" t="str">
        <x:v>2024-09</x:v>
      </x:c>
      <x:c r="B165" s="23" t="str">
        <x:v>2024-09-30</x:v>
      </x:c>
      <x:c r="C165" s="23" t="str">
        <x:v>2300</x:v>
      </x:c>
      <x:c r="D165" s="23" t="str">
        <x:v>Deuda financiera corriente</x:v>
      </x:c>
      <x:c r="E165" s="24" t="n">
        <x:v>1125000</x:v>
      </x:c>
      <x:c r="F165" s="23" t="str">
        <x:v>ERP simulado</x:v>
      </x:c>
      <x:c r="G165" s="23" t="str">
        <x:v>Actual</x:v>
      </x:c>
      <x:c r="H165" s="23" t="str">
        <x:v>EUR</x:v>
      </x:c>
    </x:row>
    <x:row r="166">
      <x:c r="A166" s="23" t="str">
        <x:v>2024-09</x:v>
      </x:c>
      <x:c r="B166" s="23" t="str">
        <x:v>2024-09-30</x:v>
      </x:c>
      <x:c r="C166" s="23" t="str">
        <x:v>2400</x:v>
      </x:c>
      <x:c r="D166" s="23" t="str">
        <x:v>Pasivos por arrendamiento corrientes</x:v>
      </x:c>
      <x:c r="E166" s="24" t="n">
        <x:v>232500</x:v>
      </x:c>
      <x:c r="F166" s="23" t="str">
        <x:v>ERP simulado</x:v>
      </x:c>
      <x:c r="G166" s="23" t="str">
        <x:v>Actual</x:v>
      </x:c>
      <x:c r="H166" s="23" t="str">
        <x:v>EUR</x:v>
      </x:c>
    </x:row>
    <x:row r="167">
      <x:c r="A167" s="23" t="str">
        <x:v>2024-09</x:v>
      </x:c>
      <x:c r="B167" s="23" t="str">
        <x:v>2024-09-30</x:v>
      </x:c>
      <x:c r="C167" s="23" t="str">
        <x:v>2500</x:v>
      </x:c>
      <x:c r="D167" s="23" t="str">
        <x:v>Deuda financiera no corriente</x:v>
      </x:c>
      <x:c r="E167" s="24" t="n">
        <x:v>4500000</x:v>
      </x:c>
      <x:c r="F167" s="23" t="str">
        <x:v>ERP simulado</x:v>
      </x:c>
      <x:c r="G167" s="23" t="str">
        <x:v>Actual</x:v>
      </x:c>
      <x:c r="H167" s="23" t="str">
        <x:v>EUR</x:v>
      </x:c>
    </x:row>
    <x:row r="168">
      <x:c r="A168" s="23" t="str">
        <x:v>2024-09</x:v>
      </x:c>
      <x:c r="B168" s="23" t="str">
        <x:v>2024-09-30</x:v>
      </x:c>
      <x:c r="C168" s="23" t="str">
        <x:v>2600</x:v>
      </x:c>
      <x:c r="D168" s="23" t="str">
        <x:v>Pasivos por arrendamiento no corrientes</x:v>
      </x:c>
      <x:c r="E168" s="24" t="n">
        <x:v>542500</x:v>
      </x:c>
      <x:c r="F168" s="23" t="str">
        <x:v>ERP simulado</x:v>
      </x:c>
      <x:c r="G168" s="23" t="str">
        <x:v>Actual</x:v>
      </x:c>
      <x:c r="H168" s="23" t="str">
        <x:v>EUR</x:v>
      </x:c>
    </x:row>
    <x:row r="169">
      <x:c r="A169" s="23" t="str">
        <x:v>2024-09</x:v>
      </x:c>
      <x:c r="B169" s="23" t="str">
        <x:v>2024-09-30</x:v>
      </x:c>
      <x:c r="C169" s="23" t="str">
        <x:v>2700</x:v>
      </x:c>
      <x:c r="D169" s="23" t="str">
        <x:v>Otros pasivos</x:v>
      </x:c>
      <x:c r="E169" s="24" t="n">
        <x:v>800000</x:v>
      </x:c>
      <x:c r="F169" s="23" t="str">
        <x:v>ERP simulado</x:v>
      </x:c>
      <x:c r="G169" s="23" t="str">
        <x:v>Actual</x:v>
      </x:c>
      <x:c r="H169" s="23" t="str">
        <x:v>EUR</x:v>
      </x:c>
    </x:row>
    <x:row r="170">
      <x:c r="A170" s="23" t="str">
        <x:v>2024-09</x:v>
      </x:c>
      <x:c r="B170" s="23" t="str">
        <x:v>2024-09-30</x:v>
      </x:c>
      <x:c r="C170" s="23" t="str">
        <x:v>3000</x:v>
      </x:c>
      <x:c r="D170" s="23" t="str">
        <x:v>Capital social</x:v>
      </x:c>
      <x:c r="E170" s="24" t="n">
        <x:v>5000000</x:v>
      </x:c>
      <x:c r="F170" s="23" t="str">
        <x:v>ERP simulado</x:v>
      </x:c>
      <x:c r="G170" s="23" t="str">
        <x:v>Actual</x:v>
      </x:c>
      <x:c r="H170" s="23" t="str">
        <x:v>EUR</x:v>
      </x:c>
    </x:row>
    <x:row r="171">
      <x:c r="A171" s="23" t="str">
        <x:v>2024-09</x:v>
      </x:c>
      <x:c r="B171" s="23" t="str">
        <x:v>2024-09-30</x:v>
      </x:c>
      <x:c r="C171" s="23" t="str">
        <x:v>3100</x:v>
      </x:c>
      <x:c r="D171" s="23" t="str">
        <x:v>Resultados acumulados</x:v>
      </x:c>
      <x:c r="E171" s="24" t="n">
        <x:v>6416126</x:v>
      </x:c>
      <x:c r="F171" s="23" t="str">
        <x:v>ERP simulado</x:v>
      </x:c>
      <x:c r="G171" s="23" t="str">
        <x:v>Actual</x:v>
      </x:c>
      <x:c r="H171" s="23" t="str">
        <x:v>EUR</x:v>
      </x:c>
    </x:row>
    <x:row r="172">
      <x:c r="A172" s="23" t="str">
        <x:v>2024-10</x:v>
      </x:c>
      <x:c r="B172" s="23" t="str">
        <x:v>2024-10-31</x:v>
      </x:c>
      <x:c r="C172" s="23" t="str">
        <x:v>1000</x:v>
      </x:c>
      <x:c r="D172" s="23" t="str">
        <x:v>Efectivo y equivalentes</x:v>
      </x:c>
      <x:c r="E172" s="24" t="n">
        <x:v>2940355</x:v>
      </x:c>
      <x:c r="F172" s="23" t="str">
        <x:v>ERP simulado</x:v>
      </x:c>
      <x:c r="G172" s="23" t="str">
        <x:v>Actual</x:v>
      </x:c>
      <x:c r="H172" s="23" t="str">
        <x:v>EUR</x:v>
      </x:c>
    </x:row>
    <x:row r="173">
      <x:c r="A173" s="23" t="str">
        <x:v>2024-10</x:v>
      </x:c>
      <x:c r="B173" s="23" t="str">
        <x:v>2024-10-31</x:v>
      </x:c>
      <x:c r="C173" s="23" t="str">
        <x:v>1100</x:v>
      </x:c>
      <x:c r="D173" s="23" t="str">
        <x:v>Clientes</x:v>
      </x:c>
      <x:c r="E173" s="24" t="n">
        <x:v>6022551</x:v>
      </x:c>
      <x:c r="F173" s="23" t="str">
        <x:v>ERP simulado</x:v>
      </x:c>
      <x:c r="G173" s="23" t="str">
        <x:v>Actual</x:v>
      </x:c>
      <x:c r="H173" s="23" t="str">
        <x:v>EUR</x:v>
      </x:c>
    </x:row>
    <x:row r="174">
      <x:c r="A174" s="23" t="str">
        <x:v>2024-10</x:v>
      </x:c>
      <x:c r="B174" s="23" t="str">
        <x:v>2024-10-31</x:v>
      </x:c>
      <x:c r="C174" s="23" t="str">
        <x:v>1200</x:v>
      </x:c>
      <x:c r="D174" s="23" t="str">
        <x:v>Existencias</x:v>
      </x:c>
      <x:c r="E174" s="24" t="n">
        <x:v>3289805</x:v>
      </x:c>
      <x:c r="F174" s="23" t="str">
        <x:v>ERP simulado</x:v>
      </x:c>
      <x:c r="G174" s="23" t="str">
        <x:v>Actual</x:v>
      </x:c>
      <x:c r="H174" s="23" t="str">
        <x:v>EUR</x:v>
      </x:c>
    </x:row>
    <x:row r="175">
      <x:c r="A175" s="23" t="str">
        <x:v>2024-10</x:v>
      </x:c>
      <x:c r="B175" s="23" t="str">
        <x:v>2024-10-31</x:v>
      </x:c>
      <x:c r="C175" s="23" t="str">
        <x:v>1300</x:v>
      </x:c>
      <x:c r="D175" s="23" t="str">
        <x:v>Pagos anticipados y otros activos corrientes</x:v>
      </x:c>
      <x:c r="E175" s="24" t="n">
        <x:v>693237</x:v>
      </x:c>
      <x:c r="F175" s="23" t="str">
        <x:v>ERP simulado</x:v>
      </x:c>
      <x:c r="G175" s="23" t="str">
        <x:v>Actual</x:v>
      </x:c>
      <x:c r="H175" s="23" t="str">
        <x:v>EUR</x:v>
      </x:c>
    </x:row>
    <x:row r="176">
      <x:c r="A176" s="23" t="str">
        <x:v>2024-10</x:v>
      </x:c>
      <x:c r="B176" s="23" t="str">
        <x:v>2024-10-31</x:v>
      </x:c>
      <x:c r="C176" s="23" t="str">
        <x:v>1400</x:v>
      </x:c>
      <x:c r="D176" s="23" t="str">
        <x:v>Inmovilizado material neto</x:v>
      </x:c>
      <x:c r="E176" s="24" t="n">
        <x:v>8387128</x:v>
      </x:c>
      <x:c r="F176" s="23" t="str">
        <x:v>ERP simulado</x:v>
      </x:c>
      <x:c r="G176" s="23" t="str">
        <x:v>Actual</x:v>
      </x:c>
      <x:c r="H176" s="23" t="str">
        <x:v>EUR</x:v>
      </x:c>
    </x:row>
    <x:row r="177">
      <x:c r="A177" s="23" t="str">
        <x:v>2024-10</x:v>
      </x:c>
      <x:c r="B177" s="23" t="str">
        <x:v>2024-10-31</x:v>
      </x:c>
      <x:c r="C177" s="23" t="str">
        <x:v>1500</x:v>
      </x:c>
      <x:c r="D177" s="23" t="str">
        <x:v>Activos intangibles netos</x:v>
      </x:c>
      <x:c r="E177" s="24" t="n">
        <x:v>1204250</x:v>
      </x:c>
      <x:c r="F177" s="23" t="str">
        <x:v>ERP simulado</x:v>
      </x:c>
      <x:c r="G177" s="23" t="str">
        <x:v>Actual</x:v>
      </x:c>
      <x:c r="H177" s="23" t="str">
        <x:v>EUR</x:v>
      </x:c>
    </x:row>
    <x:row r="178">
      <x:c r="A178" s="23" t="str">
        <x:v>2024-10</x:v>
      </x:c>
      <x:c r="B178" s="23" t="str">
        <x:v>2024-10-31</x:v>
      </x:c>
      <x:c r="C178" s="23" t="str">
        <x:v>1600</x:v>
      </x:c>
      <x:c r="D178" s="23" t="str">
        <x:v>Otros activos no corrientes</x:v>
      </x:c>
      <x:c r="E178" s="24" t="n">
        <x:v>800000</x:v>
      </x:c>
      <x:c r="F178" s="23" t="str">
        <x:v>ERP simulado</x:v>
      </x:c>
      <x:c r="G178" s="23" t="str">
        <x:v>Actual</x:v>
      </x:c>
      <x:c r="H178" s="23" t="str">
        <x:v>EUR</x:v>
      </x:c>
    </x:row>
    <x:row r="179">
      <x:c r="A179" s="23" t="str">
        <x:v>2024-10</x:v>
      </x:c>
      <x:c r="B179" s="23" t="str">
        <x:v>2024-10-31</x:v>
      </x:c>
      <x:c r="C179" s="23" t="str">
        <x:v>2000</x:v>
      </x:c>
      <x:c r="D179" s="23" t="str">
        <x:v>Proveedores</x:v>
      </x:c>
      <x:c r="E179" s="24" t="n">
        <x:v>3333179</x:v>
      </x:c>
      <x:c r="F179" s="23" t="str">
        <x:v>ERP simulado</x:v>
      </x:c>
      <x:c r="G179" s="23" t="str">
        <x:v>Actual</x:v>
      </x:c>
      <x:c r="H179" s="23" t="str">
        <x:v>EUR</x:v>
      </x:c>
    </x:row>
    <x:row r="180">
      <x:c r="A180" s="23" t="str">
        <x:v>2024-10</x:v>
      </x:c>
      <x:c r="B180" s="23" t="str">
        <x:v>2024-10-31</x:v>
      </x:c>
      <x:c r="C180" s="23" t="str">
        <x:v>2100</x:v>
      </x:c>
      <x:c r="D180" s="23" t="str">
        <x:v>Acreedores y gastos devengados</x:v>
      </x:c>
      <x:c r="E180" s="24" t="n">
        <x:v>990338</x:v>
      </x:c>
      <x:c r="F180" s="23" t="str">
        <x:v>ERP simulado</x:v>
      </x:c>
      <x:c r="G180" s="23" t="str">
        <x:v>Actual</x:v>
      </x:c>
      <x:c r="H180" s="23" t="str">
        <x:v>EUR</x:v>
      </x:c>
    </x:row>
    <x:row r="181">
      <x:c r="A181" s="23" t="str">
        <x:v>2024-10</x:v>
      </x:c>
      <x:c r="B181" s="23" t="str">
        <x:v>2024-10-31</x:v>
      </x:c>
      <x:c r="C181" s="23" t="str">
        <x:v>2200</x:v>
      </x:c>
      <x:c r="D181" s="23" t="str">
        <x:v>Impuestos a pagar</x:v>
      </x:c>
      <x:c r="E181" s="24" t="n">
        <x:v>131178</x:v>
      </x:c>
      <x:c r="F181" s="23" t="str">
        <x:v>ERP simulado</x:v>
      </x:c>
      <x:c r="G181" s="23" t="str">
        <x:v>Actual</x:v>
      </x:c>
      <x:c r="H181" s="23" t="str">
        <x:v>EUR</x:v>
      </x:c>
    </x:row>
    <x:row r="182">
      <x:c r="A182" s="23" t="str">
        <x:v>2024-10</x:v>
      </x:c>
      <x:c r="B182" s="23" t="str">
        <x:v>2024-10-31</x:v>
      </x:c>
      <x:c r="C182" s="23" t="str">
        <x:v>2300</x:v>
      </x:c>
      <x:c r="D182" s="23" t="str">
        <x:v>Deuda financiera corriente</x:v>
      </x:c>
      <x:c r="E182" s="24" t="n">
        <x:v>1125000</x:v>
      </x:c>
      <x:c r="F182" s="23" t="str">
        <x:v>ERP simulado</x:v>
      </x:c>
      <x:c r="G182" s="23" t="str">
        <x:v>Actual</x:v>
      </x:c>
      <x:c r="H182" s="23" t="str">
        <x:v>EUR</x:v>
      </x:c>
    </x:row>
    <x:row r="183">
      <x:c r="A183" s="23" t="str">
        <x:v>2024-10</x:v>
      </x:c>
      <x:c r="B183" s="23" t="str">
        <x:v>2024-10-31</x:v>
      </x:c>
      <x:c r="C183" s="23" t="str">
        <x:v>2400</x:v>
      </x:c>
      <x:c r="D183" s="23" t="str">
        <x:v>Pasivos por arrendamiento corrientes</x:v>
      </x:c>
      <x:c r="E183" s="24" t="n">
        <x:v>225000</x:v>
      </x:c>
      <x:c r="F183" s="23" t="str">
        <x:v>ERP simulado</x:v>
      </x:c>
      <x:c r="G183" s="23" t="str">
        <x:v>Actual</x:v>
      </x:c>
      <x:c r="H183" s="23" t="str">
        <x:v>EUR</x:v>
      </x:c>
    </x:row>
    <x:row r="184">
      <x:c r="A184" s="23" t="str">
        <x:v>2024-10</x:v>
      </x:c>
      <x:c r="B184" s="23" t="str">
        <x:v>2024-10-31</x:v>
      </x:c>
      <x:c r="C184" s="23" t="str">
        <x:v>2500</x:v>
      </x:c>
      <x:c r="D184" s="23" t="str">
        <x:v>Deuda financiera no corriente</x:v>
      </x:c>
      <x:c r="E184" s="24" t="n">
        <x:v>4500000</x:v>
      </x:c>
      <x:c r="F184" s="23" t="str">
        <x:v>ERP simulado</x:v>
      </x:c>
      <x:c r="G184" s="23" t="str">
        <x:v>Actual</x:v>
      </x:c>
      <x:c r="H184" s="23" t="str">
        <x:v>EUR</x:v>
      </x:c>
    </x:row>
    <x:row r="185">
      <x:c r="A185" s="23" t="str">
        <x:v>2024-10</x:v>
      </x:c>
      <x:c r="B185" s="23" t="str">
        <x:v>2024-10-31</x:v>
      </x:c>
      <x:c r="C185" s="23" t="str">
        <x:v>2600</x:v>
      </x:c>
      <x:c r="D185" s="23" t="str">
        <x:v>Pasivos por arrendamiento no corrientes</x:v>
      </x:c>
      <x:c r="E185" s="24" t="n">
        <x:v>525000</x:v>
      </x:c>
      <x:c r="F185" s="23" t="str">
        <x:v>ERP simulado</x:v>
      </x:c>
      <x:c r="G185" s="23" t="str">
        <x:v>Actual</x:v>
      </x:c>
      <x:c r="H185" s="23" t="str">
        <x:v>EUR</x:v>
      </x:c>
    </x:row>
    <x:row r="186">
      <x:c r="A186" s="23" t="str">
        <x:v>2024-10</x:v>
      </x:c>
      <x:c r="B186" s="23" t="str">
        <x:v>2024-10-31</x:v>
      </x:c>
      <x:c r="C186" s="23" t="str">
        <x:v>2700</x:v>
      </x:c>
      <x:c r="D186" s="23" t="str">
        <x:v>Otros pasivos</x:v>
      </x:c>
      <x:c r="E186" s="24" t="n">
        <x:v>800000</x:v>
      </x:c>
      <x:c r="F186" s="23" t="str">
        <x:v>ERP simulado</x:v>
      </x:c>
      <x:c r="G186" s="23" t="str">
        <x:v>Actual</x:v>
      </x:c>
      <x:c r="H186" s="23" t="str">
        <x:v>EUR</x:v>
      </x:c>
    </x:row>
    <x:row r="187">
      <x:c r="A187" s="23" t="str">
        <x:v>2024-10</x:v>
      </x:c>
      <x:c r="B187" s="23" t="str">
        <x:v>2024-10-31</x:v>
      </x:c>
      <x:c r="C187" s="23" t="str">
        <x:v>3000</x:v>
      </x:c>
      <x:c r="D187" s="23" t="str">
        <x:v>Capital social</x:v>
      </x:c>
      <x:c r="E187" s="24" t="n">
        <x:v>5000000</x:v>
      </x:c>
      <x:c r="F187" s="23" t="str">
        <x:v>ERP simulado</x:v>
      </x:c>
      <x:c r="G187" s="23" t="str">
        <x:v>Actual</x:v>
      </x:c>
      <x:c r="H187" s="23" t="str">
        <x:v>EUR</x:v>
      </x:c>
    </x:row>
    <x:row r="188">
      <x:c r="A188" s="23" t="str">
        <x:v>2024-10</x:v>
      </x:c>
      <x:c r="B188" s="23" t="str">
        <x:v>2024-10-31</x:v>
      </x:c>
      <x:c r="C188" s="23" t="str">
        <x:v>3100</x:v>
      </x:c>
      <x:c r="D188" s="23" t="str">
        <x:v>Resultados acumulados</x:v>
      </x:c>
      <x:c r="E188" s="24" t="n">
        <x:v>6707631</x:v>
      </x:c>
      <x:c r="F188" s="23" t="str">
        <x:v>ERP simulado</x:v>
      </x:c>
      <x:c r="G188" s="23" t="str">
        <x:v>Actual</x:v>
      </x:c>
      <x:c r="H188" s="23" t="str">
        <x:v>EUR</x:v>
      </x:c>
    </x:row>
    <x:row r="189">
      <x:c r="A189" s="23" t="str">
        <x:v>2024-11</x:v>
      </x:c>
      <x:c r="B189" s="23" t="str">
        <x:v>2024-11-30</x:v>
      </x:c>
      <x:c r="C189" s="23" t="str">
        <x:v>1000</x:v>
      </x:c>
      <x:c r="D189" s="23" t="str">
        <x:v>Efectivo y equivalentes</x:v>
      </x:c>
      <x:c r="E189" s="24" t="n">
        <x:v>2865716</x:v>
      </x:c>
      <x:c r="F189" s="23" t="str">
        <x:v>ERP simulado</x:v>
      </x:c>
      <x:c r="G189" s="23" t="str">
        <x:v>Actual</x:v>
      </x:c>
      <x:c r="H189" s="23" t="str">
        <x:v>EUR</x:v>
      </x:c>
    </x:row>
    <x:row r="190">
      <x:c r="A190" s="23" t="str">
        <x:v>2024-11</x:v>
      </x:c>
      <x:c r="B190" s="23" t="str">
        <x:v>2024-11-30</x:v>
      </x:c>
      <x:c r="C190" s="23" t="str">
        <x:v>1100</x:v>
      </x:c>
      <x:c r="D190" s="23" t="str">
        <x:v>Clientes</x:v>
      </x:c>
      <x:c r="E190" s="24" t="n">
        <x:v>6449311</x:v>
      </x:c>
      <x:c r="F190" s="23" t="str">
        <x:v>ERP simulado</x:v>
      </x:c>
      <x:c r="G190" s="23" t="str">
        <x:v>Actual</x:v>
      </x:c>
      <x:c r="H190" s="23" t="str">
        <x:v>EUR</x:v>
      </x:c>
    </x:row>
    <x:row r="191">
      <x:c r="A191" s="23" t="str">
        <x:v>2024-11</x:v>
      </x:c>
      <x:c r="B191" s="23" t="str">
        <x:v>2024-11-30</x:v>
      </x:c>
      <x:c r="C191" s="23" t="str">
        <x:v>1200</x:v>
      </x:c>
      <x:c r="D191" s="23" t="str">
        <x:v>Existencias</x:v>
      </x:c>
      <x:c r="E191" s="24" t="n">
        <x:v>3506280</x:v>
      </x:c>
      <x:c r="F191" s="23" t="str">
        <x:v>ERP simulado</x:v>
      </x:c>
      <x:c r="G191" s="23" t="str">
        <x:v>Actual</x:v>
      </x:c>
      <x:c r="H191" s="23" t="str">
        <x:v>EUR</x:v>
      </x:c>
    </x:row>
    <x:row r="192">
      <x:c r="A192" s="23" t="str">
        <x:v>2024-11</x:v>
      </x:c>
      <x:c r="B192" s="23" t="str">
        <x:v>2024-11-30</x:v>
      </x:c>
      <x:c r="C192" s="23" t="str">
        <x:v>1300</x:v>
      </x:c>
      <x:c r="D192" s="23" t="str">
        <x:v>Pagos anticipados y otros activos corrientes</x:v>
      </x:c>
      <x:c r="E192" s="24" t="n">
        <x:v>723005</x:v>
      </x:c>
      <x:c r="F192" s="23" t="str">
        <x:v>ERP simulado</x:v>
      </x:c>
      <x:c r="G192" s="23" t="str">
        <x:v>Actual</x:v>
      </x:c>
      <x:c r="H192" s="23" t="str">
        <x:v>EUR</x:v>
      </x:c>
    </x:row>
    <x:row r="193">
      <x:c r="A193" s="23" t="str">
        <x:v>2024-11</x:v>
      </x:c>
      <x:c r="B193" s="23" t="str">
        <x:v>2024-11-30</x:v>
      </x:c>
      <x:c r="C193" s="23" t="str">
        <x:v>1400</x:v>
      </x:c>
      <x:c r="D193" s="23" t="str">
        <x:v>Inmovilizado material neto</x:v>
      </x:c>
      <x:c r="E193" s="24" t="n">
        <x:v>8392364</x:v>
      </x:c>
      <x:c r="F193" s="23" t="str">
        <x:v>ERP simulado</x:v>
      </x:c>
      <x:c r="G193" s="23" t="str">
        <x:v>Actual</x:v>
      </x:c>
      <x:c r="H193" s="23" t="str">
        <x:v>EUR</x:v>
      </x:c>
    </x:row>
    <x:row r="194">
      <x:c r="A194" s="23" t="str">
        <x:v>2024-11</x:v>
      </x:c>
      <x:c r="B194" s="23" t="str">
        <x:v>2024-11-30</x:v>
      </x:c>
      <x:c r="C194" s="23" t="str">
        <x:v>1500</x:v>
      </x:c>
      <x:c r="D194" s="23" t="str">
        <x:v>Activos intangibles netos</x:v>
      </x:c>
      <x:c r="E194" s="24" t="n">
        <x:v>1193750</x:v>
      </x:c>
      <x:c r="F194" s="23" t="str">
        <x:v>ERP simulado</x:v>
      </x:c>
      <x:c r="G194" s="23" t="str">
        <x:v>Actual</x:v>
      </x:c>
      <x:c r="H194" s="23" t="str">
        <x:v>EUR</x:v>
      </x:c>
    </x:row>
    <x:row r="195">
      <x:c r="A195" s="23" t="str">
        <x:v>2024-11</x:v>
      </x:c>
      <x:c r="B195" s="23" t="str">
        <x:v>2024-11-30</x:v>
      </x:c>
      <x:c r="C195" s="23" t="str">
        <x:v>1600</x:v>
      </x:c>
      <x:c r="D195" s="23" t="str">
        <x:v>Otros activos no corrientes</x:v>
      </x:c>
      <x:c r="E195" s="24" t="n">
        <x:v>800000</x:v>
      </x:c>
      <x:c r="F195" s="23" t="str">
        <x:v>ERP simulado</x:v>
      </x:c>
      <x:c r="G195" s="23" t="str">
        <x:v>Actual</x:v>
      </x:c>
      <x:c r="H195" s="23" t="str">
        <x:v>EUR</x:v>
      </x:c>
    </x:row>
    <x:row r="196">
      <x:c r="A196" s="23" t="str">
        <x:v>2024-11</x:v>
      </x:c>
      <x:c r="B196" s="23" t="str">
        <x:v>2024-11-30</x:v>
      </x:c>
      <x:c r="C196" s="23" t="str">
        <x:v>2000</x:v>
      </x:c>
      <x:c r="D196" s="23" t="str">
        <x:v>Proveedores</x:v>
      </x:c>
      <x:c r="E196" s="24" t="n">
        <x:v>3591896</x:v>
      </x:c>
      <x:c r="F196" s="23" t="str">
        <x:v>ERP simulado</x:v>
      </x:c>
      <x:c r="G196" s="23" t="str">
        <x:v>Actual</x:v>
      </x:c>
      <x:c r="H196" s="23" t="str">
        <x:v>EUR</x:v>
      </x:c>
    </x:row>
    <x:row r="197">
      <x:c r="A197" s="23" t="str">
        <x:v>2024-11</x:v>
      </x:c>
      <x:c r="B197" s="23" t="str">
        <x:v>2024-11-30</x:v>
      </x:c>
      <x:c r="C197" s="23" t="str">
        <x:v>2100</x:v>
      </x:c>
      <x:c r="D197" s="23" t="str">
        <x:v>Acreedores y gastos devengados</x:v>
      </x:c>
      <x:c r="E197" s="24" t="n">
        <x:v>1032864</x:v>
      </x:c>
      <x:c r="F197" s="23" t="str">
        <x:v>ERP simulado</x:v>
      </x:c>
      <x:c r="G197" s="23" t="str">
        <x:v>Actual</x:v>
      </x:c>
      <x:c r="H197" s="23" t="str">
        <x:v>EUR</x:v>
      </x:c>
    </x:row>
    <x:row r="198">
      <x:c r="A198" s="23" t="str">
        <x:v>2024-11</x:v>
      </x:c>
      <x:c r="B198" s="23" t="str">
        <x:v>2024-11-30</x:v>
      </x:c>
      <x:c r="C198" s="23" t="str">
        <x:v>2200</x:v>
      </x:c>
      <x:c r="D198" s="23" t="str">
        <x:v>Impuestos a pagar</x:v>
      </x:c>
      <x:c r="E198" s="24" t="n">
        <x:v>139046</x:v>
      </x:c>
      <x:c r="F198" s="23" t="str">
        <x:v>ERP simulado</x:v>
      </x:c>
      <x:c r="G198" s="23" t="str">
        <x:v>Actual</x:v>
      </x:c>
      <x:c r="H198" s="23" t="str">
        <x:v>EUR</x:v>
      </x:c>
    </x:row>
    <x:row r="199">
      <x:c r="A199" s="23" t="str">
        <x:v>2024-11</x:v>
      </x:c>
      <x:c r="B199" s="23" t="str">
        <x:v>2024-11-30</x:v>
      </x:c>
      <x:c r="C199" s="23" t="str">
        <x:v>2300</x:v>
      </x:c>
      <x:c r="D199" s="23" t="str">
        <x:v>Deuda financiera corriente</x:v>
      </x:c>
      <x:c r="E199" s="24" t="n">
        <x:v>1125000</x:v>
      </x:c>
      <x:c r="F199" s="23" t="str">
        <x:v>ERP simulado</x:v>
      </x:c>
      <x:c r="G199" s="23" t="str">
        <x:v>Actual</x:v>
      </x:c>
      <x:c r="H199" s="23" t="str">
        <x:v>EUR</x:v>
      </x:c>
    </x:row>
    <x:row r="200">
      <x:c r="A200" s="23" t="str">
        <x:v>2024-11</x:v>
      </x:c>
      <x:c r="B200" s="23" t="str">
        <x:v>2024-11-30</x:v>
      </x:c>
      <x:c r="C200" s="23" t="str">
        <x:v>2400</x:v>
      </x:c>
      <x:c r="D200" s="23" t="str">
        <x:v>Pasivos por arrendamiento corrientes</x:v>
      </x:c>
      <x:c r="E200" s="24" t="n">
        <x:v>217500</x:v>
      </x:c>
      <x:c r="F200" s="23" t="str">
        <x:v>ERP simulado</x:v>
      </x:c>
      <x:c r="G200" s="23" t="str">
        <x:v>Actual</x:v>
      </x:c>
      <x:c r="H200" s="23" t="str">
        <x:v>EUR</x:v>
      </x:c>
    </x:row>
    <x:row r="201">
      <x:c r="A201" s="23" t="str">
        <x:v>2024-11</x:v>
      </x:c>
      <x:c r="B201" s="23" t="str">
        <x:v>2024-11-30</x:v>
      </x:c>
      <x:c r="C201" s="23" t="str">
        <x:v>2500</x:v>
      </x:c>
      <x:c r="D201" s="23" t="str">
        <x:v>Deuda financiera no corriente</x:v>
      </x:c>
      <x:c r="E201" s="24" t="n">
        <x:v>4500000</x:v>
      </x:c>
      <x:c r="F201" s="23" t="str">
        <x:v>ERP simulado</x:v>
      </x:c>
      <x:c r="G201" s="23" t="str">
        <x:v>Actual</x:v>
      </x:c>
      <x:c r="H201" s="23" t="str">
        <x:v>EUR</x:v>
      </x:c>
    </x:row>
    <x:row r="202">
      <x:c r="A202" s="23" t="str">
        <x:v>2024-11</x:v>
      </x:c>
      <x:c r="B202" s="23" t="str">
        <x:v>2024-11-30</x:v>
      </x:c>
      <x:c r="C202" s="23" t="str">
        <x:v>2600</x:v>
      </x:c>
      <x:c r="D202" s="23" t="str">
        <x:v>Pasivos por arrendamiento no corrientes</x:v>
      </x:c>
      <x:c r="E202" s="24" t="n">
        <x:v>507500</x:v>
      </x:c>
      <x:c r="F202" s="23" t="str">
        <x:v>ERP simulado</x:v>
      </x:c>
      <x:c r="G202" s="23" t="str">
        <x:v>Actual</x:v>
      </x:c>
      <x:c r="H202" s="23" t="str">
        <x:v>EUR</x:v>
      </x:c>
    </x:row>
    <x:row r="203">
      <x:c r="A203" s="23" t="str">
        <x:v>2024-11</x:v>
      </x:c>
      <x:c r="B203" s="23" t="str">
        <x:v>2024-11-30</x:v>
      </x:c>
      <x:c r="C203" s="23" t="str">
        <x:v>2700</x:v>
      </x:c>
      <x:c r="D203" s="23" t="str">
        <x:v>Otros pasivos</x:v>
      </x:c>
      <x:c r="E203" s="24" t="n">
        <x:v>800000</x:v>
      </x:c>
      <x:c r="F203" s="23" t="str">
        <x:v>ERP simulado</x:v>
      </x:c>
      <x:c r="G203" s="23" t="str">
        <x:v>Actual</x:v>
      </x:c>
      <x:c r="H203" s="23" t="str">
        <x:v>EUR</x:v>
      </x:c>
    </x:row>
    <x:row r="204">
      <x:c r="A204" s="23" t="str">
        <x:v>2024-11</x:v>
      </x:c>
      <x:c r="B204" s="23" t="str">
        <x:v>2024-11-30</x:v>
      </x:c>
      <x:c r="C204" s="23" t="str">
        <x:v>3000</x:v>
      </x:c>
      <x:c r="D204" s="23" t="str">
        <x:v>Capital social</x:v>
      </x:c>
      <x:c r="E204" s="24" t="n">
        <x:v>5000000</x:v>
      </x:c>
      <x:c r="F204" s="23" t="str">
        <x:v>ERP simulado</x:v>
      </x:c>
      <x:c r="G204" s="23" t="str">
        <x:v>Actual</x:v>
      </x:c>
      <x:c r="H204" s="23" t="str">
        <x:v>EUR</x:v>
      </x:c>
    </x:row>
    <x:row r="205">
      <x:c r="A205" s="23" t="str">
        <x:v>2024-11</x:v>
      </x:c>
      <x:c r="B205" s="23" t="str">
        <x:v>2024-11-30</x:v>
      </x:c>
      <x:c r="C205" s="23" t="str">
        <x:v>3100</x:v>
      </x:c>
      <x:c r="D205" s="23" t="str">
        <x:v>Resultados acumulados</x:v>
      </x:c>
      <x:c r="E205" s="24" t="n">
        <x:v>7016620</x:v>
      </x:c>
      <x:c r="F205" s="23" t="str">
        <x:v>ERP simulado</x:v>
      </x:c>
      <x:c r="G205" s="23" t="str">
        <x:v>Actual</x:v>
      </x:c>
      <x:c r="H205" s="23" t="str">
        <x:v>EUR</x:v>
      </x:c>
    </x:row>
    <x:row r="206">
      <x:c r="A206" s="23" t="str">
        <x:v>2024-12</x:v>
      </x:c>
      <x:c r="B206" s="23" t="str">
        <x:v>2024-12-31</x:v>
      </x:c>
      <x:c r="C206" s="23" t="str">
        <x:v>1000</x:v>
      </x:c>
      <x:c r="D206" s="23" t="str">
        <x:v>Efectivo y equivalentes</x:v>
      </x:c>
      <x:c r="E206" s="24" t="n">
        <x:v>2746000</x:v>
      </x:c>
      <x:c r="F206" s="23" t="str">
        <x:v>ERP simulado</x:v>
      </x:c>
      <x:c r="G206" s="23" t="str">
        <x:v>Actual</x:v>
      </x:c>
      <x:c r="H206" s="23" t="str">
        <x:v>EUR</x:v>
      </x:c>
    </x:row>
    <x:row r="207">
      <x:c r="A207" s="23" t="str">
        <x:v>2024-12</x:v>
      </x:c>
      <x:c r="B207" s="23" t="str">
        <x:v>2024-12-31</x:v>
      </x:c>
      <x:c r="C207" s="23" t="str">
        <x:v>1100</x:v>
      </x:c>
      <x:c r="D207" s="23" t="str">
        <x:v>Clientes</x:v>
      </x:c>
      <x:c r="E207" s="24" t="n">
        <x:v>6673035</x:v>
      </x:c>
      <x:c r="F207" s="23" t="str">
        <x:v>ERP simulado</x:v>
      </x:c>
      <x:c r="G207" s="23" t="str">
        <x:v>Actual</x:v>
      </x:c>
      <x:c r="H207" s="23" t="str">
        <x:v>EUR</x:v>
      </x:c>
    </x:row>
    <x:row r="208">
      <x:c r="A208" s="23" t="str">
        <x:v>2024-12</x:v>
      </x:c>
      <x:c r="B208" s="23" t="str">
        <x:v>2024-12-31</x:v>
      </x:c>
      <x:c r="C208" s="23" t="str">
        <x:v>1200</x:v>
      </x:c>
      <x:c r="D208" s="23" t="str">
        <x:v>Existencias</x:v>
      </x:c>
      <x:c r="E208" s="24" t="n">
        <x:v>3618872</x:v>
      </x:c>
      <x:c r="F208" s="23" t="str">
        <x:v>ERP simulado</x:v>
      </x:c>
      <x:c r="G208" s="23" t="str">
        <x:v>Actual</x:v>
      </x:c>
      <x:c r="H208" s="23" t="str">
        <x:v>EUR</x:v>
      </x:c>
    </x:row>
    <x:row r="209">
      <x:c r="A209" s="23" t="str">
        <x:v>2024-12</x:v>
      </x:c>
      <x:c r="B209" s="23" t="str">
        <x:v>2024-12-31</x:v>
      </x:c>
      <x:c r="C209" s="23" t="str">
        <x:v>1300</x:v>
      </x:c>
      <x:c r="D209" s="23" t="str">
        <x:v>Pagos anticipados y otros activos corrientes</x:v>
      </x:c>
      <x:c r="E209" s="24" t="n">
        <x:v>779033</x:v>
      </x:c>
      <x:c r="F209" s="23" t="str">
        <x:v>ERP simulado</x:v>
      </x:c>
      <x:c r="G209" s="23" t="str">
        <x:v>Actual</x:v>
      </x:c>
      <x:c r="H209" s="23" t="str">
        <x:v>EUR</x:v>
      </x:c>
    </x:row>
    <x:row r="210">
      <x:c r="A210" s="23" t="str">
        <x:v>2024-12</x:v>
      </x:c>
      <x:c r="B210" s="23" t="str">
        <x:v>2024-12-31</x:v>
      </x:c>
      <x:c r="C210" s="23" t="str">
        <x:v>1400</x:v>
      </x:c>
      <x:c r="D210" s="23" t="str">
        <x:v>Inmovilizado material neto</x:v>
      </x:c>
      <x:c r="E210" s="24" t="n">
        <x:v>8387332</x:v>
      </x:c>
      <x:c r="F210" s="23" t="str">
        <x:v>ERP simulado</x:v>
      </x:c>
      <x:c r="G210" s="23" t="str">
        <x:v>Actual</x:v>
      </x:c>
      <x:c r="H210" s="23" t="str">
        <x:v>EUR</x:v>
      </x:c>
    </x:row>
    <x:row r="211">
      <x:c r="A211" s="23" t="str">
        <x:v>2024-12</x:v>
      </x:c>
      <x:c r="B211" s="23" t="str">
        <x:v>2024-12-31</x:v>
      </x:c>
      <x:c r="C211" s="23" t="str">
        <x:v>1500</x:v>
      </x:c>
      <x:c r="D211" s="23" t="str">
        <x:v>Activos intangibles netos</x:v>
      </x:c>
      <x:c r="E211" s="24" t="n">
        <x:v>1212900</x:v>
      </x:c>
      <x:c r="F211" s="23" t="str">
        <x:v>ERP simulado</x:v>
      </x:c>
      <x:c r="G211" s="23" t="str">
        <x:v>Actual</x:v>
      </x:c>
      <x:c r="H211" s="23" t="str">
        <x:v>EUR</x:v>
      </x:c>
    </x:row>
    <x:row r="212">
      <x:c r="A212" s="23" t="str">
        <x:v>2024-12</x:v>
      </x:c>
      <x:c r="B212" s="23" t="str">
        <x:v>2024-12-31</x:v>
      </x:c>
      <x:c r="C212" s="23" t="str">
        <x:v>1600</x:v>
      </x:c>
      <x:c r="D212" s="23" t="str">
        <x:v>Otros activos no corrientes</x:v>
      </x:c>
      <x:c r="E212" s="24" t="n">
        <x:v>800000</x:v>
      </x:c>
      <x:c r="F212" s="23" t="str">
        <x:v>ERP simulado</x:v>
      </x:c>
      <x:c r="G212" s="23" t="str">
        <x:v>Actual</x:v>
      </x:c>
      <x:c r="H212" s="23" t="str">
        <x:v>EUR</x:v>
      </x:c>
    </x:row>
    <x:row r="213">
      <x:c r="A213" s="23" t="str">
        <x:v>2024-12</x:v>
      </x:c>
      <x:c r="B213" s="23" t="str">
        <x:v>2024-12-31</x:v>
      </x:c>
      <x:c r="C213" s="23" t="str">
        <x:v>2000</x:v>
      </x:c>
      <x:c r="D213" s="23" t="str">
        <x:v>Proveedores</x:v>
      </x:c>
      <x:c r="E213" s="24" t="n">
        <x:v>3741121</x:v>
      </x:c>
      <x:c r="F213" s="23" t="str">
        <x:v>ERP simulado</x:v>
      </x:c>
      <x:c r="G213" s="23" t="str">
        <x:v>Actual</x:v>
      </x:c>
      <x:c r="H213" s="23" t="str">
        <x:v>EUR</x:v>
      </x:c>
    </x:row>
    <x:row r="214">
      <x:c r="A214" s="23" t="str">
        <x:v>2024-12</x:v>
      </x:c>
      <x:c r="B214" s="23" t="str">
        <x:v>2024-12-31</x:v>
      </x:c>
      <x:c r="C214" s="23" t="str">
        <x:v>2100</x:v>
      </x:c>
      <x:c r="D214" s="23" t="str">
        <x:v>Acreedores y gastos devengados</x:v>
      </x:c>
      <x:c r="E214" s="24" t="n">
        <x:v>1112904</x:v>
      </x:c>
      <x:c r="F214" s="23" t="str">
        <x:v>ERP simulado</x:v>
      </x:c>
      <x:c r="G214" s="23" t="str">
        <x:v>Actual</x:v>
      </x:c>
      <x:c r="H214" s="23" t="str">
        <x:v>EUR</x:v>
      </x:c>
    </x:row>
    <x:row r="215">
      <x:c r="A215" s="23" t="str">
        <x:v>2024-12</x:v>
      </x:c>
      <x:c r="B215" s="23" t="str">
        <x:v>2024-12-31</x:v>
      </x:c>
      <x:c r="C215" s="23" t="str">
        <x:v>2200</x:v>
      </x:c>
      <x:c r="D215" s="23" t="str">
        <x:v>Impuestos a pagar</x:v>
      </x:c>
      <x:c r="E215" s="24" t="n">
        <x:v>154094</x:v>
      </x:c>
      <x:c r="F215" s="23" t="str">
        <x:v>ERP simulado</x:v>
      </x:c>
      <x:c r="G215" s="23" t="str">
        <x:v>Actual</x:v>
      </x:c>
      <x:c r="H215" s="23" t="str">
        <x:v>EUR</x:v>
      </x:c>
    </x:row>
    <x:row r="216">
      <x:c r="A216" s="23" t="str">
        <x:v>2024-12</x:v>
      </x:c>
      <x:c r="B216" s="23" t="str">
        <x:v>2024-12-31</x:v>
      </x:c>
      <x:c r="C216" s="23" t="str">
        <x:v>2300</x:v>
      </x:c>
      <x:c r="D216" s="23" t="str">
        <x:v>Deuda financiera corriente</x:v>
      </x:c>
      <x:c r="E216" s="24" t="n">
        <x:v>1100000</x:v>
      </x:c>
      <x:c r="F216" s="23" t="str">
        <x:v>ERP simulado</x:v>
      </x:c>
      <x:c r="G216" s="23" t="str">
        <x:v>Actual</x:v>
      </x:c>
      <x:c r="H216" s="23" t="str">
        <x:v>EUR</x:v>
      </x:c>
    </x:row>
    <x:row r="217">
      <x:c r="A217" s="23" t="str">
        <x:v>2024-12</x:v>
      </x:c>
      <x:c r="B217" s="23" t="str">
        <x:v>2024-12-31</x:v>
      </x:c>
      <x:c r="C217" s="23" t="str">
        <x:v>2400</x:v>
      </x:c>
      <x:c r="D217" s="23" t="str">
        <x:v>Pasivos por arrendamiento corrientes</x:v>
      </x:c>
      <x:c r="E217" s="24" t="n">
        <x:v>210000</x:v>
      </x:c>
      <x:c r="F217" s="23" t="str">
        <x:v>ERP simulado</x:v>
      </x:c>
      <x:c r="G217" s="23" t="str">
        <x:v>Actual</x:v>
      </x:c>
      <x:c r="H217" s="23" t="str">
        <x:v>EUR</x:v>
      </x:c>
    </x:row>
    <x:row r="218">
      <x:c r="A218" s="23" t="str">
        <x:v>2024-12</x:v>
      </x:c>
      <x:c r="B218" s="23" t="str">
        <x:v>2024-12-31</x:v>
      </x:c>
      <x:c r="C218" s="23" t="str">
        <x:v>2500</x:v>
      </x:c>
      <x:c r="D218" s="23" t="str">
        <x:v>Deuda financiera no corriente</x:v>
      </x:c>
      <x:c r="E218" s="24" t="n">
        <x:v>4400000</x:v>
      </x:c>
      <x:c r="F218" s="23" t="str">
        <x:v>ERP simulado</x:v>
      </x:c>
      <x:c r="G218" s="23" t="str">
        <x:v>Actual</x:v>
      </x:c>
      <x:c r="H218" s="23" t="str">
        <x:v>EUR</x:v>
      </x:c>
    </x:row>
    <x:row r="219">
      <x:c r="A219" s="23" t="str">
        <x:v>2024-12</x:v>
      </x:c>
      <x:c r="B219" s="23" t="str">
        <x:v>2024-12-31</x:v>
      </x:c>
      <x:c r="C219" s="23" t="str">
        <x:v>2600</x:v>
      </x:c>
      <x:c r="D219" s="23" t="str">
        <x:v>Pasivos por arrendamiento no corrientes</x:v>
      </x:c>
      <x:c r="E219" s="24" t="n">
        <x:v>490000</x:v>
      </x:c>
      <x:c r="F219" s="23" t="str">
        <x:v>ERP simulado</x:v>
      </x:c>
      <x:c r="G219" s="23" t="str">
        <x:v>Actual</x:v>
      </x:c>
      <x:c r="H219" s="23" t="str">
        <x:v>EUR</x:v>
      </x:c>
    </x:row>
    <x:row r="220">
      <x:c r="A220" s="23" t="str">
        <x:v>2024-12</x:v>
      </x:c>
      <x:c r="B220" s="23" t="str">
        <x:v>2024-12-31</x:v>
      </x:c>
      <x:c r="C220" s="23" t="str">
        <x:v>2700</x:v>
      </x:c>
      <x:c r="D220" s="23" t="str">
        <x:v>Otros pasivos</x:v>
      </x:c>
      <x:c r="E220" s="24" t="n">
        <x:v>800000</x:v>
      </x:c>
      <x:c r="F220" s="23" t="str">
        <x:v>ERP simulado</x:v>
      </x:c>
      <x:c r="G220" s="23" t="str">
        <x:v>Actual</x:v>
      </x:c>
      <x:c r="H220" s="23" t="str">
        <x:v>EUR</x:v>
      </x:c>
    </x:row>
    <x:row r="221">
      <x:c r="A221" s="23" t="str">
        <x:v>2024-12</x:v>
      </x:c>
      <x:c r="B221" s="23" t="str">
        <x:v>2024-12-31</x:v>
      </x:c>
      <x:c r="C221" s="23" t="str">
        <x:v>3000</x:v>
      </x:c>
      <x:c r="D221" s="23" t="str">
        <x:v>Capital social</x:v>
      </x:c>
      <x:c r="E221" s="24" t="n">
        <x:v>5000000</x:v>
      </x:c>
      <x:c r="F221" s="23" t="str">
        <x:v>ERP simulado</x:v>
      </x:c>
      <x:c r="G221" s="23" t="str">
        <x:v>Actual</x:v>
      </x:c>
      <x:c r="H221" s="23" t="str">
        <x:v>EUR</x:v>
      </x:c>
    </x:row>
    <x:row r="222">
      <x:c r="A222" s="23" t="str">
        <x:v>2024-12</x:v>
      </x:c>
      <x:c r="B222" s="23" t="str">
        <x:v>2024-12-31</x:v>
      </x:c>
      <x:c r="C222" s="23" t="str">
        <x:v>3100</x:v>
      </x:c>
      <x:c r="D222" s="23" t="str">
        <x:v>Resultados acumulados</x:v>
      </x:c>
      <x:c r="E222" s="24" t="n">
        <x:v>7209053</x:v>
      </x:c>
      <x:c r="F222" s="23" t="str">
        <x:v>ERP simulado</x:v>
      </x:c>
      <x:c r="G222" s="23" t="str">
        <x:v>Actual</x:v>
      </x:c>
      <x:c r="H222" s="23" t="str">
        <x:v>EUR</x:v>
      </x:c>
    </x:row>
    <x:row r="223">
      <x:c r="A223" s="23" t="str">
        <x:v>2025-01</x:v>
      </x:c>
      <x:c r="B223" s="23" t="str">
        <x:v>2025-01-31</x:v>
      </x:c>
      <x:c r="C223" s="23" t="str">
        <x:v>1000</x:v>
      </x:c>
      <x:c r="D223" s="23" t="str">
        <x:v>Efectivo y equivalentes</x:v>
      </x:c>
      <x:c r="E223" s="24" t="n">
        <x:v>4501921</x:v>
      </x:c>
      <x:c r="F223" s="23" t="str">
        <x:v>ERP simulado</x:v>
      </x:c>
      <x:c r="G223" s="23" t="str">
        <x:v>Actual</x:v>
      </x:c>
      <x:c r="H223" s="23" t="str">
        <x:v>EUR</x:v>
      </x:c>
    </x:row>
    <x:row r="224">
      <x:c r="A224" s="23" t="str">
        <x:v>2025-01</x:v>
      </x:c>
      <x:c r="B224" s="23" t="str">
        <x:v>2025-01-31</x:v>
      </x:c>
      <x:c r="C224" s="23" t="str">
        <x:v>1100</x:v>
      </x:c>
      <x:c r="D224" s="23" t="str">
        <x:v>Clientes</x:v>
      </x:c>
      <x:c r="E224" s="24" t="n">
        <x:v>4989525</x:v>
      </x:c>
      <x:c r="F224" s="23" t="str">
        <x:v>ERP simulado</x:v>
      </x:c>
      <x:c r="G224" s="23" t="str">
        <x:v>Actual</x:v>
      </x:c>
      <x:c r="H224" s="23" t="str">
        <x:v>EUR</x:v>
      </x:c>
    </x:row>
    <x:row r="225">
      <x:c r="A225" s="23" t="str">
        <x:v>2025-01</x:v>
      </x:c>
      <x:c r="B225" s="23" t="str">
        <x:v>2025-01-31</x:v>
      </x:c>
      <x:c r="C225" s="23" t="str">
        <x:v>1200</x:v>
      </x:c>
      <x:c r="D225" s="23" t="str">
        <x:v>Existencias</x:v>
      </x:c>
      <x:c r="E225" s="24" t="n">
        <x:v>2705162</x:v>
      </x:c>
      <x:c r="F225" s="23" t="str">
        <x:v>ERP simulado</x:v>
      </x:c>
      <x:c r="G225" s="23" t="str">
        <x:v>Actual</x:v>
      </x:c>
      <x:c r="H225" s="23" t="str">
        <x:v>EUR</x:v>
      </x:c>
    </x:row>
    <x:row r="226">
      <x:c r="A226" s="23" t="str">
        <x:v>2025-01</x:v>
      </x:c>
      <x:c r="B226" s="23" t="str">
        <x:v>2025-01-31</x:v>
      </x:c>
      <x:c r="C226" s="23" t="str">
        <x:v>1300</x:v>
      </x:c>
      <x:c r="D226" s="23" t="str">
        <x:v>Pagos anticipados y otros activos corrientes</x:v>
      </x:c>
      <x:c r="E226" s="24" t="n">
        <x:v>587563</x:v>
      </x:c>
      <x:c r="F226" s="23" t="str">
        <x:v>ERP simulado</x:v>
      </x:c>
      <x:c r="G226" s="23" t="str">
        <x:v>Actual</x:v>
      </x:c>
      <x:c r="H226" s="23" t="str">
        <x:v>EUR</x:v>
      </x:c>
    </x:row>
    <x:row r="227">
      <x:c r="A227" s="23" t="str">
        <x:v>2025-01</x:v>
      </x:c>
      <x:c r="B227" s="23" t="str">
        <x:v>2025-01-31</x:v>
      </x:c>
      <x:c r="C227" s="23" t="str">
        <x:v>1400</x:v>
      </x:c>
      <x:c r="D227" s="23" t="str">
        <x:v>Inmovilizado material neto</x:v>
      </x:c>
      <x:c r="E227" s="24" t="n">
        <x:v>8373412</x:v>
      </x:c>
      <x:c r="F227" s="23" t="str">
        <x:v>ERP simulado</x:v>
      </x:c>
      <x:c r="G227" s="23" t="str">
        <x:v>Actual</x:v>
      </x:c>
      <x:c r="H227" s="23" t="str">
        <x:v>EUR</x:v>
      </x:c>
    </x:row>
    <x:row r="228">
      <x:c r="A228" s="23" t="str">
        <x:v>2025-01</x:v>
      </x:c>
      <x:c r="B228" s="23" t="str">
        <x:v>2025-01-31</x:v>
      </x:c>
      <x:c r="C228" s="23" t="str">
        <x:v>1500</x:v>
      </x:c>
      <x:c r="D228" s="23" t="str">
        <x:v>Activos intangibles netos</x:v>
      </x:c>
      <x:c r="E228" s="24" t="n">
        <x:v>1201700</x:v>
      </x:c>
      <x:c r="F228" s="23" t="str">
        <x:v>ERP simulado</x:v>
      </x:c>
      <x:c r="G228" s="23" t="str">
        <x:v>Actual</x:v>
      </x:c>
      <x:c r="H228" s="23" t="str">
        <x:v>EUR</x:v>
      </x:c>
    </x:row>
    <x:row r="229">
      <x:c r="A229" s="23" t="str">
        <x:v>2025-01</x:v>
      </x:c>
      <x:c r="B229" s="23" t="str">
        <x:v>2025-01-31</x:v>
      </x:c>
      <x:c r="C229" s="23" t="str">
        <x:v>1600</x:v>
      </x:c>
      <x:c r="D229" s="23" t="str">
        <x:v>Otros activos no corrientes</x:v>
      </x:c>
      <x:c r="E229" s="24" t="n">
        <x:v>800000</x:v>
      </x:c>
      <x:c r="F229" s="23" t="str">
        <x:v>ERP simulado</x:v>
      </x:c>
      <x:c r="G229" s="23" t="str">
        <x:v>Actual</x:v>
      </x:c>
      <x:c r="H229" s="23" t="str">
        <x:v>EUR</x:v>
      </x:c>
    </x:row>
    <x:row r="230">
      <x:c r="A230" s="23" t="str">
        <x:v>2025-01</x:v>
      </x:c>
      <x:c r="B230" s="23" t="str">
        <x:v>2025-01-31</x:v>
      </x:c>
      <x:c r="C230" s="23" t="str">
        <x:v>2000</x:v>
      </x:c>
      <x:c r="D230" s="23" t="str">
        <x:v>Proveedores</x:v>
      </x:c>
      <x:c r="E230" s="24" t="n">
        <x:v>2815502</x:v>
      </x:c>
      <x:c r="F230" s="23" t="str">
        <x:v>ERP simulado</x:v>
      </x:c>
      <x:c r="G230" s="23" t="str">
        <x:v>Actual</x:v>
      </x:c>
      <x:c r="H230" s="23" t="str">
        <x:v>EUR</x:v>
      </x:c>
    </x:row>
    <x:row r="231">
      <x:c r="A231" s="23" t="str">
        <x:v>2025-01</x:v>
      </x:c>
      <x:c r="B231" s="23" t="str">
        <x:v>2025-01-31</x:v>
      </x:c>
      <x:c r="C231" s="23" t="str">
        <x:v>2100</x:v>
      </x:c>
      <x:c r="D231" s="23" t="str">
        <x:v>Acreedores y gastos devengados</x:v>
      </x:c>
      <x:c r="E231" s="24" t="n">
        <x:v>839376</x:v>
      </x:c>
      <x:c r="F231" s="23" t="str">
        <x:v>ERP simulado</x:v>
      </x:c>
      <x:c r="G231" s="23" t="str">
        <x:v>Actual</x:v>
      </x:c>
      <x:c r="H231" s="23" t="str">
        <x:v>EUR</x:v>
      </x:c>
    </x:row>
    <x:row r="232">
      <x:c r="A232" s="23" t="str">
        <x:v>2025-01</x:v>
      </x:c>
      <x:c r="B232" s="23" t="str">
        <x:v>2025-01-31</x:v>
      </x:c>
      <x:c r="C232" s="23" t="str">
        <x:v>2200</x:v>
      </x:c>
      <x:c r="D232" s="23" t="str">
        <x:v>Impuestos a pagar</x:v>
      </x:c>
      <x:c r="E232" s="24" t="n">
        <x:v>99419</x:v>
      </x:c>
      <x:c r="F232" s="23" t="str">
        <x:v>ERP simulado</x:v>
      </x:c>
      <x:c r="G232" s="23" t="str">
        <x:v>Actual</x:v>
      </x:c>
      <x:c r="H232" s="23" t="str">
        <x:v>EUR</x:v>
      </x:c>
    </x:row>
    <x:row r="233">
      <x:c r="A233" s="23" t="str">
        <x:v>2025-01</x:v>
      </x:c>
      <x:c r="B233" s="23" t="str">
        <x:v>2025-01-31</x:v>
      </x:c>
      <x:c r="C233" s="23" t="str">
        <x:v>2300</x:v>
      </x:c>
      <x:c r="D233" s="23" t="str">
        <x:v>Deuda financiera corriente</x:v>
      </x:c>
      <x:c r="E233" s="24" t="n">
        <x:v>1100000</x:v>
      </x:c>
      <x:c r="F233" s="23" t="str">
        <x:v>ERP simulado</x:v>
      </x:c>
      <x:c r="G233" s="23" t="str">
        <x:v>Actual</x:v>
      </x:c>
      <x:c r="H233" s="23" t="str">
        <x:v>EUR</x:v>
      </x:c>
    </x:row>
    <x:row r="234">
      <x:c r="A234" s="23" t="str">
        <x:v>2025-01</x:v>
      </x:c>
      <x:c r="B234" s="23" t="str">
        <x:v>2025-01-31</x:v>
      </x:c>
      <x:c r="C234" s="23" t="str">
        <x:v>2400</x:v>
      </x:c>
      <x:c r="D234" s="23" t="str">
        <x:v>Pasivos por arrendamiento corrientes</x:v>
      </x:c>
      <x:c r="E234" s="24" t="n">
        <x:v>202500</x:v>
      </x:c>
      <x:c r="F234" s="23" t="str">
        <x:v>ERP simulado</x:v>
      </x:c>
      <x:c r="G234" s="23" t="str">
        <x:v>Actual</x:v>
      </x:c>
      <x:c r="H234" s="23" t="str">
        <x:v>EUR</x:v>
      </x:c>
    </x:row>
    <x:row r="235">
      <x:c r="A235" s="23" t="str">
        <x:v>2025-01</x:v>
      </x:c>
      <x:c r="B235" s="23" t="str">
        <x:v>2025-01-31</x:v>
      </x:c>
      <x:c r="C235" s="23" t="str">
        <x:v>2500</x:v>
      </x:c>
      <x:c r="D235" s="23" t="str">
        <x:v>Deuda financiera no corriente</x:v>
      </x:c>
      <x:c r="E235" s="24" t="n">
        <x:v>4400000</x:v>
      </x:c>
      <x:c r="F235" s="23" t="str">
        <x:v>ERP simulado</x:v>
      </x:c>
      <x:c r="G235" s="23" t="str">
        <x:v>Actual</x:v>
      </x:c>
      <x:c r="H235" s="23" t="str">
        <x:v>EUR</x:v>
      </x:c>
    </x:row>
    <x:row r="236">
      <x:c r="A236" s="23" t="str">
        <x:v>2025-01</x:v>
      </x:c>
      <x:c r="B236" s="23" t="str">
        <x:v>2025-01-31</x:v>
      </x:c>
      <x:c r="C236" s="23" t="str">
        <x:v>2600</x:v>
      </x:c>
      <x:c r="D236" s="23" t="str">
        <x:v>Pasivos por arrendamiento no corrientes</x:v>
      </x:c>
      <x:c r="E236" s="24" t="n">
        <x:v>472500</x:v>
      </x:c>
      <x:c r="F236" s="23" t="str">
        <x:v>ERP simulado</x:v>
      </x:c>
      <x:c r="G236" s="23" t="str">
        <x:v>Actual</x:v>
      </x:c>
      <x:c r="H236" s="23" t="str">
        <x:v>EUR</x:v>
      </x:c>
    </x:row>
    <x:row r="237">
      <x:c r="A237" s="23" t="str">
        <x:v>2025-01</x:v>
      </x:c>
      <x:c r="B237" s="23" t="str">
        <x:v>2025-01-31</x:v>
      </x:c>
      <x:c r="C237" s="23" t="str">
        <x:v>2700</x:v>
      </x:c>
      <x:c r="D237" s="23" t="str">
        <x:v>Otros pasivos</x:v>
      </x:c>
      <x:c r="E237" s="24" t="n">
        <x:v>800000</x:v>
      </x:c>
      <x:c r="F237" s="23" t="str">
        <x:v>ERP simulado</x:v>
      </x:c>
      <x:c r="G237" s="23" t="str">
        <x:v>Actual</x:v>
      </x:c>
      <x:c r="H237" s="23" t="str">
        <x:v>EUR</x:v>
      </x:c>
    </x:row>
    <x:row r="238">
      <x:c r="A238" s="23" t="str">
        <x:v>2025-01</x:v>
      </x:c>
      <x:c r="B238" s="23" t="str">
        <x:v>2025-01-31</x:v>
      </x:c>
      <x:c r="C238" s="23" t="str">
        <x:v>3000</x:v>
      </x:c>
      <x:c r="D238" s="23" t="str">
        <x:v>Capital social</x:v>
      </x:c>
      <x:c r="E238" s="24" t="n">
        <x:v>5000000</x:v>
      </x:c>
      <x:c r="F238" s="23" t="str">
        <x:v>ERP simulado</x:v>
      </x:c>
      <x:c r="G238" s="23" t="str">
        <x:v>Actual</x:v>
      </x:c>
      <x:c r="H238" s="23" t="str">
        <x:v>EUR</x:v>
      </x:c>
    </x:row>
    <x:row r="239">
      <x:c r="A239" s="23" t="str">
        <x:v>2025-01</x:v>
      </x:c>
      <x:c r="B239" s="23" t="str">
        <x:v>2025-01-31</x:v>
      </x:c>
      <x:c r="C239" s="23" t="str">
        <x:v>3100</x:v>
      </x:c>
      <x:c r="D239" s="23" t="str">
        <x:v>Resultados acumulados</x:v>
      </x:c>
      <x:c r="E239" s="24" t="n">
        <x:v>7429986</x:v>
      </x:c>
      <x:c r="F239" s="23" t="str">
        <x:v>ERP simulado</x:v>
      </x:c>
      <x:c r="G239" s="23" t="str">
        <x:v>Actual</x:v>
      </x:c>
      <x:c r="H239" s="23" t="str">
        <x:v>EUR</x:v>
      </x:c>
    </x:row>
    <x:row r="240">
      <x:c r="A240" s="23" t="str">
        <x:v>2025-02</x:v>
      </x:c>
      <x:c r="B240" s="23" t="str">
        <x:v>2025-02-28</x:v>
      </x:c>
      <x:c r="C240" s="23" t="str">
        <x:v>1000</x:v>
      </x:c>
      <x:c r="D240" s="23" t="str">
        <x:v>Efectivo y equivalentes</x:v>
      </x:c>
      <x:c r="E240" s="24" t="n">
        <x:v>4089159</x:v>
      </x:c>
      <x:c r="F240" s="23" t="str">
        <x:v>ERP simulado</x:v>
      </x:c>
      <x:c r="G240" s="23" t="str">
        <x:v>Actual</x:v>
      </x:c>
      <x:c r="H240" s="23" t="str">
        <x:v>EUR</x:v>
      </x:c>
    </x:row>
    <x:row r="241">
      <x:c r="A241" s="23" t="str">
        <x:v>2025-02</x:v>
      </x:c>
      <x:c r="B241" s="23" t="str">
        <x:v>2025-02-28</x:v>
      </x:c>
      <x:c r="C241" s="23" t="str">
        <x:v>1100</x:v>
      </x:c>
      <x:c r="D241" s="23" t="str">
        <x:v>Clientes</x:v>
      </x:c>
      <x:c r="E241" s="24" t="n">
        <x:v>5688429</x:v>
      </x:c>
      <x:c r="F241" s="23" t="str">
        <x:v>ERP simulado</x:v>
      </x:c>
      <x:c r="G241" s="23" t="str">
        <x:v>Actual</x:v>
      </x:c>
      <x:c r="H241" s="23" t="str">
        <x:v>EUR</x:v>
      </x:c>
    </x:row>
    <x:row r="242">
      <x:c r="A242" s="23" t="str">
        <x:v>2025-02</x:v>
      </x:c>
      <x:c r="B242" s="23" t="str">
        <x:v>2025-02-28</x:v>
      </x:c>
      <x:c r="C242" s="23" t="str">
        <x:v>1200</x:v>
      </x:c>
      <x:c r="D242" s="23" t="str">
        <x:v>Existencias</x:v>
      </x:c>
      <x:c r="E242" s="24" t="n">
        <x:v>3089748</x:v>
      </x:c>
      <x:c r="F242" s="23" t="str">
        <x:v>ERP simulado</x:v>
      </x:c>
      <x:c r="G242" s="23" t="str">
        <x:v>Actual</x:v>
      </x:c>
      <x:c r="H242" s="23" t="str">
        <x:v>EUR</x:v>
      </x:c>
    </x:row>
    <x:row r="243">
      <x:c r="A243" s="23" t="str">
        <x:v>2025-02</x:v>
      </x:c>
      <x:c r="B243" s="23" t="str">
        <x:v>2025-02-28</x:v>
      </x:c>
      <x:c r="C243" s="23" t="str">
        <x:v>1300</x:v>
      </x:c>
      <x:c r="D243" s="23" t="str">
        <x:v>Pagos anticipados y otros activos corrientes</x:v>
      </x:c>
      <x:c r="E243" s="24" t="n">
        <x:v>610547</x:v>
      </x:c>
      <x:c r="F243" s="23" t="str">
        <x:v>ERP simulado</x:v>
      </x:c>
      <x:c r="G243" s="23" t="str">
        <x:v>Actual</x:v>
      </x:c>
      <x:c r="H243" s="23" t="str">
        <x:v>EUR</x:v>
      </x:c>
    </x:row>
    <x:row r="244">
      <x:c r="A244" s="23" t="str">
        <x:v>2025-02</x:v>
      </x:c>
      <x:c r="B244" s="23" t="str">
        <x:v>2025-02-28</x:v>
      </x:c>
      <x:c r="C244" s="23" t="str">
        <x:v>1400</x:v>
      </x:c>
      <x:c r="D244" s="23" t="str">
        <x:v>Inmovilizado material neto</x:v>
      </x:c>
      <x:c r="E244" s="24" t="n">
        <x:v>8352687</x:v>
      </x:c>
      <x:c r="F244" s="23" t="str">
        <x:v>ERP simulado</x:v>
      </x:c>
      <x:c r="G244" s="23" t="str">
        <x:v>Actual</x:v>
      </x:c>
      <x:c r="H244" s="23" t="str">
        <x:v>EUR</x:v>
      </x:c>
    </x:row>
    <x:row r="245">
      <x:c r="A245" s="23" t="str">
        <x:v>2025-02</x:v>
      </x:c>
      <x:c r="B245" s="23" t="str">
        <x:v>2025-02-28</x:v>
      </x:c>
      <x:c r="C245" s="23" t="str">
        <x:v>1500</x:v>
      </x:c>
      <x:c r="D245" s="23" t="str">
        <x:v>Activos intangibles netos</x:v>
      </x:c>
      <x:c r="E245" s="24" t="n">
        <x:v>1190150</x:v>
      </x:c>
      <x:c r="F245" s="23" t="str">
        <x:v>ERP simulado</x:v>
      </x:c>
      <x:c r="G245" s="23" t="str">
        <x:v>Actual</x:v>
      </x:c>
      <x:c r="H245" s="23" t="str">
        <x:v>EUR</x:v>
      </x:c>
    </x:row>
    <x:row r="246">
      <x:c r="A246" s="23" t="str">
        <x:v>2025-02</x:v>
      </x:c>
      <x:c r="B246" s="23" t="str">
        <x:v>2025-02-28</x:v>
      </x:c>
      <x:c r="C246" s="23" t="str">
        <x:v>1600</x:v>
      </x:c>
      <x:c r="D246" s="23" t="str">
        <x:v>Otros activos no corrientes</x:v>
      </x:c>
      <x:c r="E246" s="24" t="n">
        <x:v>800000</x:v>
      </x:c>
      <x:c r="F246" s="23" t="str">
        <x:v>ERP simulado</x:v>
      </x:c>
      <x:c r="G246" s="23" t="str">
        <x:v>Actual</x:v>
      </x:c>
      <x:c r="H246" s="23" t="str">
        <x:v>EUR</x:v>
      </x:c>
    </x:row>
    <x:row r="247">
      <x:c r="A247" s="23" t="str">
        <x:v>2025-02</x:v>
      </x:c>
      <x:c r="B247" s="23" t="str">
        <x:v>2025-02-28</x:v>
      </x:c>
      <x:c r="C247" s="23" t="str">
        <x:v>2000</x:v>
      </x:c>
      <x:c r="D247" s="23" t="str">
        <x:v>Proveedores</x:v>
      </x:c>
      <x:c r="E247" s="24" t="n">
        <x:v>3228891</x:v>
      </x:c>
      <x:c r="F247" s="23" t="str">
        <x:v>ERP simulado</x:v>
      </x:c>
      <x:c r="G247" s="23" t="str">
        <x:v>Actual</x:v>
      </x:c>
      <x:c r="H247" s="23" t="str">
        <x:v>EUR</x:v>
      </x:c>
    </x:row>
    <x:row r="248">
      <x:c r="A248" s="23" t="str">
        <x:v>2025-02</x:v>
      </x:c>
      <x:c r="B248" s="23" t="str">
        <x:v>2025-02-28</x:v>
      </x:c>
      <x:c r="C248" s="23" t="str">
        <x:v>2100</x:v>
      </x:c>
      <x:c r="D248" s="23" t="str">
        <x:v>Acreedores y gastos devengados</x:v>
      </x:c>
      <x:c r="E248" s="24" t="n">
        <x:v>872210</x:v>
      </x:c>
      <x:c r="F248" s="23" t="str">
        <x:v>ERP simulado</x:v>
      </x:c>
      <x:c r="G248" s="23" t="str">
        <x:v>Actual</x:v>
      </x:c>
      <x:c r="H248" s="23" t="str">
        <x:v>EUR</x:v>
      </x:c>
    </x:row>
    <x:row r="249">
      <x:c r="A249" s="23" t="str">
        <x:v>2025-02</x:v>
      </x:c>
      <x:c r="B249" s="23" t="str">
        <x:v>2025-02-28</x:v>
      </x:c>
      <x:c r="C249" s="23" t="str">
        <x:v>2200</x:v>
      </x:c>
      <x:c r="D249" s="23" t="str">
        <x:v>Impuestos a pagar</x:v>
      </x:c>
      <x:c r="E249" s="24" t="n">
        <x:v>105404</x:v>
      </x:c>
      <x:c r="F249" s="23" t="str">
        <x:v>ERP simulado</x:v>
      </x:c>
      <x:c r="G249" s="23" t="str">
        <x:v>Actual</x:v>
      </x:c>
      <x:c r="H249" s="23" t="str">
        <x:v>EUR</x:v>
      </x:c>
    </x:row>
    <x:row r="250">
      <x:c r="A250" s="23" t="str">
        <x:v>2025-02</x:v>
      </x:c>
      <x:c r="B250" s="23" t="str">
        <x:v>2025-02-28</x:v>
      </x:c>
      <x:c r="C250" s="23" t="str">
        <x:v>2300</x:v>
      </x:c>
      <x:c r="D250" s="23" t="str">
        <x:v>Deuda financiera corriente</x:v>
      </x:c>
      <x:c r="E250" s="24" t="n">
        <x:v>1100000</x:v>
      </x:c>
      <x:c r="F250" s="23" t="str">
        <x:v>ERP simulado</x:v>
      </x:c>
      <x:c r="G250" s="23" t="str">
        <x:v>Actual</x:v>
      </x:c>
      <x:c r="H250" s="23" t="str">
        <x:v>EUR</x:v>
      </x:c>
    </x:row>
    <x:row r="251">
      <x:c r="A251" s="23" t="str">
        <x:v>2025-02</x:v>
      </x:c>
      <x:c r="B251" s="23" t="str">
        <x:v>2025-02-28</x:v>
      </x:c>
      <x:c r="C251" s="23" t="str">
        <x:v>2400</x:v>
      </x:c>
      <x:c r="D251" s="23" t="str">
        <x:v>Pasivos por arrendamiento corrientes</x:v>
      </x:c>
      <x:c r="E251" s="24" t="n">
        <x:v>195000</x:v>
      </x:c>
      <x:c r="F251" s="23" t="str">
        <x:v>ERP simulado</x:v>
      </x:c>
      <x:c r="G251" s="23" t="str">
        <x:v>Actual</x:v>
      </x:c>
      <x:c r="H251" s="23" t="str">
        <x:v>EUR</x:v>
      </x:c>
    </x:row>
    <x:row r="252">
      <x:c r="A252" s="23" t="str">
        <x:v>2025-02</x:v>
      </x:c>
      <x:c r="B252" s="23" t="str">
        <x:v>2025-02-28</x:v>
      </x:c>
      <x:c r="C252" s="23" t="str">
        <x:v>2500</x:v>
      </x:c>
      <x:c r="D252" s="23" t="str">
        <x:v>Deuda financiera no corriente</x:v>
      </x:c>
      <x:c r="E252" s="24" t="n">
        <x:v>4400000</x:v>
      </x:c>
      <x:c r="F252" s="23" t="str">
        <x:v>ERP simulado</x:v>
      </x:c>
      <x:c r="G252" s="23" t="str">
        <x:v>Actual</x:v>
      </x:c>
      <x:c r="H252" s="23" t="str">
        <x:v>EUR</x:v>
      </x:c>
    </x:row>
    <x:row r="253">
      <x:c r="A253" s="23" t="str">
        <x:v>2025-02</x:v>
      </x:c>
      <x:c r="B253" s="23" t="str">
        <x:v>2025-02-28</x:v>
      </x:c>
      <x:c r="C253" s="23" t="str">
        <x:v>2600</x:v>
      </x:c>
      <x:c r="D253" s="23" t="str">
        <x:v>Pasivos por arrendamiento no corrientes</x:v>
      </x:c>
      <x:c r="E253" s="24" t="n">
        <x:v>455000</x:v>
      </x:c>
      <x:c r="F253" s="23" t="str">
        <x:v>ERP simulado</x:v>
      </x:c>
      <x:c r="G253" s="23" t="str">
        <x:v>Actual</x:v>
      </x:c>
      <x:c r="H253" s="23" t="str">
        <x:v>EUR</x:v>
      </x:c>
    </x:row>
    <x:row r="254">
      <x:c r="A254" s="23" t="str">
        <x:v>2025-02</x:v>
      </x:c>
      <x:c r="B254" s="23" t="str">
        <x:v>2025-02-28</x:v>
      </x:c>
      <x:c r="C254" s="23" t="str">
        <x:v>2700</x:v>
      </x:c>
      <x:c r="D254" s="23" t="str">
        <x:v>Otros pasivos</x:v>
      </x:c>
      <x:c r="E254" s="24" t="n">
        <x:v>800000</x:v>
      </x:c>
      <x:c r="F254" s="23" t="str">
        <x:v>ERP simulado</x:v>
      </x:c>
      <x:c r="G254" s="23" t="str">
        <x:v>Actual</x:v>
      </x:c>
      <x:c r="H254" s="23" t="str">
        <x:v>EUR</x:v>
      </x:c>
    </x:row>
    <x:row r="255">
      <x:c r="A255" s="23" t="str">
        <x:v>2025-02</x:v>
      </x:c>
      <x:c r="B255" s="23" t="str">
        <x:v>2025-02-28</x:v>
      </x:c>
      <x:c r="C255" s="23" t="str">
        <x:v>3000</x:v>
      </x:c>
      <x:c r="D255" s="23" t="str">
        <x:v>Capital social</x:v>
      </x:c>
      <x:c r="E255" s="24" t="n">
        <x:v>5000000</x:v>
      </x:c>
      <x:c r="F255" s="23" t="str">
        <x:v>ERP simulado</x:v>
      </x:c>
      <x:c r="G255" s="23" t="str">
        <x:v>Actual</x:v>
      </x:c>
      <x:c r="H255" s="23" t="str">
        <x:v>EUR</x:v>
      </x:c>
    </x:row>
    <x:row r="256">
      <x:c r="A256" s="23" t="str">
        <x:v>2025-02</x:v>
      </x:c>
      <x:c r="B256" s="23" t="str">
        <x:v>2025-02-28</x:v>
      </x:c>
      <x:c r="C256" s="23" t="str">
        <x:v>3100</x:v>
      </x:c>
      <x:c r="D256" s="23" t="str">
        <x:v>Resultados acumulados</x:v>
      </x:c>
      <x:c r="E256" s="24" t="n">
        <x:v>7664215</x:v>
      </x:c>
      <x:c r="F256" s="23" t="str">
        <x:v>ERP simulado</x:v>
      </x:c>
      <x:c r="G256" s="23" t="str">
        <x:v>Actual</x:v>
      </x:c>
      <x:c r="H256" s="23" t="str">
        <x:v>EUR</x:v>
      </x:c>
    </x:row>
    <x:row r="257">
      <x:c r="A257" s="23" t="str">
        <x:v>2025-03</x:v>
      </x:c>
      <x:c r="B257" s="23" t="str">
        <x:v>2025-03-31</x:v>
      </x:c>
      <x:c r="C257" s="23" t="str">
        <x:v>1000</x:v>
      </x:c>
      <x:c r="D257" s="23" t="str">
        <x:v>Efectivo y equivalentes</x:v>
      </x:c>
      <x:c r="E257" s="24" t="n">
        <x:v>4424450</x:v>
      </x:c>
      <x:c r="F257" s="23" t="str">
        <x:v>ERP simulado</x:v>
      </x:c>
      <x:c r="G257" s="23" t="str">
        <x:v>Actual</x:v>
      </x:c>
      <x:c r="H257" s="23" t="str">
        <x:v>EUR</x:v>
      </x:c>
    </x:row>
    <x:row r="258">
      <x:c r="A258" s="23" t="str">
        <x:v>2025-03</x:v>
      </x:c>
      <x:c r="B258" s="23" t="str">
        <x:v>2025-03-31</x:v>
      </x:c>
      <x:c r="C258" s="23" t="str">
        <x:v>1100</x:v>
      </x:c>
      <x:c r="D258" s="23" t="str">
        <x:v>Clientes</x:v>
      </x:c>
      <x:c r="E258" s="24" t="n">
        <x:v>5506211</x:v>
      </x:c>
      <x:c r="F258" s="23" t="str">
        <x:v>ERP simulado</x:v>
      </x:c>
      <x:c r="G258" s="23" t="str">
        <x:v>Actual</x:v>
      </x:c>
      <x:c r="H258" s="23" t="str">
        <x:v>EUR</x:v>
      </x:c>
    </x:row>
    <x:row r="259">
      <x:c r="A259" s="23" t="str">
        <x:v>2025-03</x:v>
      </x:c>
      <x:c r="B259" s="23" t="str">
        <x:v>2025-03-31</x:v>
      </x:c>
      <x:c r="C259" s="23" t="str">
        <x:v>1200</x:v>
      </x:c>
      <x:c r="D259" s="23" t="str">
        <x:v>Existencias</x:v>
      </x:c>
      <x:c r="E259" s="24" t="n">
        <x:v>3001869</x:v>
      </x:c>
      <x:c r="F259" s="23" t="str">
        <x:v>ERP simulado</x:v>
      </x:c>
      <x:c r="G259" s="23" t="str">
        <x:v>Actual</x:v>
      </x:c>
      <x:c r="H259" s="23" t="str">
        <x:v>EUR</x:v>
      </x:c>
    </x:row>
    <x:row r="260">
      <x:c r="A260" s="23" t="str">
        <x:v>2025-03</x:v>
      </x:c>
      <x:c r="B260" s="23" t="str">
        <x:v>2025-03-31</x:v>
      </x:c>
      <x:c r="C260" s="23" t="str">
        <x:v>1300</x:v>
      </x:c>
      <x:c r="D260" s="23" t="str">
        <x:v>Pagos anticipados y otros activos corrientes</x:v>
      </x:c>
      <x:c r="E260" s="24" t="n">
        <x:v>660156</x:v>
      </x:c>
      <x:c r="F260" s="23" t="str">
        <x:v>ERP simulado</x:v>
      </x:c>
      <x:c r="G260" s="23" t="str">
        <x:v>Actual</x:v>
      </x:c>
      <x:c r="H260" s="23" t="str">
        <x:v>EUR</x:v>
      </x:c>
    </x:row>
    <x:row r="261">
      <x:c r="A261" s="23" t="str">
        <x:v>2025-03</x:v>
      </x:c>
      <x:c r="B261" s="23" t="str">
        <x:v>2025-03-31</x:v>
      </x:c>
      <x:c r="C261" s="23" t="str">
        <x:v>1400</x:v>
      </x:c>
      <x:c r="D261" s="23" t="str">
        <x:v>Inmovilizado material neto</x:v>
      </x:c>
      <x:c r="E261" s="24" t="n">
        <x:v>8327713</x:v>
      </x:c>
      <x:c r="F261" s="23" t="str">
        <x:v>ERP simulado</x:v>
      </x:c>
      <x:c r="G261" s="23" t="str">
        <x:v>Actual</x:v>
      </x:c>
      <x:c r="H261" s="23" t="str">
        <x:v>EUR</x:v>
      </x:c>
    </x:row>
    <x:row r="262">
      <x:c r="A262" s="23" t="str">
        <x:v>2025-03</x:v>
      </x:c>
      <x:c r="B262" s="23" t="str">
        <x:v>2025-03-31</x:v>
      </x:c>
      <x:c r="C262" s="23" t="str">
        <x:v>1500</x:v>
      </x:c>
      <x:c r="D262" s="23" t="str">
        <x:v>Activos intangibles netos</x:v>
      </x:c>
      <x:c r="E262" s="24" t="n">
        <x:v>1208250</x:v>
      </x:c>
      <x:c r="F262" s="23" t="str">
        <x:v>ERP simulado</x:v>
      </x:c>
      <x:c r="G262" s="23" t="str">
        <x:v>Actual</x:v>
      </x:c>
      <x:c r="H262" s="23" t="str">
        <x:v>EUR</x:v>
      </x:c>
    </x:row>
    <x:row r="263">
      <x:c r="A263" s="23" t="str">
        <x:v>2025-03</x:v>
      </x:c>
      <x:c r="B263" s="23" t="str">
        <x:v>2025-03-31</x:v>
      </x:c>
      <x:c r="C263" s="23" t="str">
        <x:v>1600</x:v>
      </x:c>
      <x:c r="D263" s="23" t="str">
        <x:v>Otros activos no corrientes</x:v>
      </x:c>
      <x:c r="E263" s="24" t="n">
        <x:v>800000</x:v>
      </x:c>
      <x:c r="F263" s="23" t="str">
        <x:v>ERP simulado</x:v>
      </x:c>
      <x:c r="G263" s="23" t="str">
        <x:v>Actual</x:v>
      </x:c>
      <x:c r="H263" s="23" t="str">
        <x:v>EUR</x:v>
      </x:c>
    </x:row>
    <x:row r="264">
      <x:c r="A264" s="23" t="str">
        <x:v>2025-03</x:v>
      </x:c>
      <x:c r="B264" s="23" t="str">
        <x:v>2025-03-31</x:v>
      </x:c>
      <x:c r="C264" s="23" t="str">
        <x:v>2000</x:v>
      </x:c>
      <x:c r="D264" s="23" t="str">
        <x:v>Proveedores</x:v>
      </x:c>
      <x:c r="E264" s="24" t="n">
        <x:v>3140618</x:v>
      </x:c>
      <x:c r="F264" s="23" t="str">
        <x:v>ERP simulado</x:v>
      </x:c>
      <x:c r="G264" s="23" t="str">
        <x:v>Actual</x:v>
      </x:c>
      <x:c r="H264" s="23" t="str">
        <x:v>EUR</x:v>
      </x:c>
    </x:row>
    <x:row r="265">
      <x:c r="A265" s="23" t="str">
        <x:v>2025-03</x:v>
      </x:c>
      <x:c r="B265" s="23" t="str">
        <x:v>2025-03-31</x:v>
      </x:c>
      <x:c r="C265" s="23" t="str">
        <x:v>2100</x:v>
      </x:c>
      <x:c r="D265" s="23" t="str">
        <x:v>Acreedores y gastos devengados</x:v>
      </x:c>
      <x:c r="E265" s="24" t="n">
        <x:v>943080</x:v>
      </x:c>
      <x:c r="F265" s="23" t="str">
        <x:v>ERP simulado</x:v>
      </x:c>
      <x:c r="G265" s="23" t="str">
        <x:v>Actual</x:v>
      </x:c>
      <x:c r="H265" s="23" t="str">
        <x:v>EUR</x:v>
      </x:c>
    </x:row>
    <x:row r="266">
      <x:c r="A266" s="23" t="str">
        <x:v>2025-03</x:v>
      </x:c>
      <x:c r="B266" s="23" t="str">
        <x:v>2025-03-31</x:v>
      </x:c>
      <x:c r="C266" s="23" t="str">
        <x:v>2200</x:v>
      </x:c>
      <x:c r="D266" s="23" t="str">
        <x:v>Impuestos a pagar</x:v>
      </x:c>
      <x:c r="E266" s="24" t="n">
        <x:v>118160</x:v>
      </x:c>
      <x:c r="F266" s="23" t="str">
        <x:v>ERP simulado</x:v>
      </x:c>
      <x:c r="G266" s="23" t="str">
        <x:v>Actual</x:v>
      </x:c>
      <x:c r="H266" s="23" t="str">
        <x:v>EUR</x:v>
      </x:c>
    </x:row>
    <x:row r="267">
      <x:c r="A267" s="23" t="str">
        <x:v>2025-03</x:v>
      </x:c>
      <x:c r="B267" s="23" t="str">
        <x:v>2025-03-31</x:v>
      </x:c>
      <x:c r="C267" s="23" t="str">
        <x:v>2300</x:v>
      </x:c>
      <x:c r="D267" s="23" t="str">
        <x:v>Deuda financiera corriente</x:v>
      </x:c>
      <x:c r="E267" s="24" t="n">
        <x:v>1075000</x:v>
      </x:c>
      <x:c r="F267" s="23" t="str">
        <x:v>ERP simulado</x:v>
      </x:c>
      <x:c r="G267" s="23" t="str">
        <x:v>Actual</x:v>
      </x:c>
      <x:c r="H267" s="23" t="str">
        <x:v>EUR</x:v>
      </x:c>
    </x:row>
    <x:row r="268">
      <x:c r="A268" s="23" t="str">
        <x:v>2025-03</x:v>
      </x:c>
      <x:c r="B268" s="23" t="str">
        <x:v>2025-03-31</x:v>
      </x:c>
      <x:c r="C268" s="23" t="str">
        <x:v>2400</x:v>
      </x:c>
      <x:c r="D268" s="23" t="str">
        <x:v>Pasivos por arrendamiento corrientes</x:v>
      </x:c>
      <x:c r="E268" s="24" t="n">
        <x:v>187500</x:v>
      </x:c>
      <x:c r="F268" s="23" t="str">
        <x:v>ERP simulado</x:v>
      </x:c>
      <x:c r="G268" s="23" t="str">
        <x:v>Actual</x:v>
      </x:c>
      <x:c r="H268" s="23" t="str">
        <x:v>EUR</x:v>
      </x:c>
    </x:row>
    <x:row r="269">
      <x:c r="A269" s="23" t="str">
        <x:v>2025-03</x:v>
      </x:c>
      <x:c r="B269" s="23" t="str">
        <x:v>2025-03-31</x:v>
      </x:c>
      <x:c r="C269" s="23" t="str">
        <x:v>2500</x:v>
      </x:c>
      <x:c r="D269" s="23" t="str">
        <x:v>Deuda financiera no corriente</x:v>
      </x:c>
      <x:c r="E269" s="24" t="n">
        <x:v>4300000</x:v>
      </x:c>
      <x:c r="F269" s="23" t="str">
        <x:v>ERP simulado</x:v>
      </x:c>
      <x:c r="G269" s="23" t="str">
        <x:v>Actual</x:v>
      </x:c>
      <x:c r="H269" s="23" t="str">
        <x:v>EUR</x:v>
      </x:c>
    </x:row>
    <x:row r="270">
      <x:c r="A270" s="23" t="str">
        <x:v>2025-03</x:v>
      </x:c>
      <x:c r="B270" s="23" t="str">
        <x:v>2025-03-31</x:v>
      </x:c>
      <x:c r="C270" s="23" t="str">
        <x:v>2600</x:v>
      </x:c>
      <x:c r="D270" s="23" t="str">
        <x:v>Pasivos por arrendamiento no corrientes</x:v>
      </x:c>
      <x:c r="E270" s="24" t="n">
        <x:v>437500</x:v>
      </x:c>
      <x:c r="F270" s="23" t="str">
        <x:v>ERP simulado</x:v>
      </x:c>
      <x:c r="G270" s="23" t="str">
        <x:v>Actual</x:v>
      </x:c>
      <x:c r="H270" s="23" t="str">
        <x:v>EUR</x:v>
      </x:c>
    </x:row>
    <x:row r="271">
      <x:c r="A271" s="23" t="str">
        <x:v>2025-03</x:v>
      </x:c>
      <x:c r="B271" s="23" t="str">
        <x:v>2025-03-31</x:v>
      </x:c>
      <x:c r="C271" s="23" t="str">
        <x:v>2700</x:v>
      </x:c>
      <x:c r="D271" s="23" t="str">
        <x:v>Otros pasivos</x:v>
      </x:c>
      <x:c r="E271" s="24" t="n">
        <x:v>800000</x:v>
      </x:c>
      <x:c r="F271" s="23" t="str">
        <x:v>ERP simulado</x:v>
      </x:c>
      <x:c r="G271" s="23" t="str">
        <x:v>Actual</x:v>
      </x:c>
      <x:c r="H271" s="23" t="str">
        <x:v>EUR</x:v>
      </x:c>
    </x:row>
    <x:row r="272">
      <x:c r="A272" s="23" t="str">
        <x:v>2025-03</x:v>
      </x:c>
      <x:c r="B272" s="23" t="str">
        <x:v>2025-03-31</x:v>
      </x:c>
      <x:c r="C272" s="23" t="str">
        <x:v>3000</x:v>
      </x:c>
      <x:c r="D272" s="23" t="str">
        <x:v>Capital social</x:v>
      </x:c>
      <x:c r="E272" s="24" t="n">
        <x:v>5000000</x:v>
      </x:c>
      <x:c r="F272" s="23" t="str">
        <x:v>ERP simulado</x:v>
      </x:c>
      <x:c r="G272" s="23" t="str">
        <x:v>Actual</x:v>
      </x:c>
      <x:c r="H272" s="23" t="str">
        <x:v>EUR</x:v>
      </x:c>
    </x:row>
    <x:row r="273">
      <x:c r="A273" s="23" t="str">
        <x:v>2025-03</x:v>
      </x:c>
      <x:c r="B273" s="23" t="str">
        <x:v>2025-03-31</x:v>
      </x:c>
      <x:c r="C273" s="23" t="str">
        <x:v>3100</x:v>
      </x:c>
      <x:c r="D273" s="23" t="str">
        <x:v>Resultados acumulados</x:v>
      </x:c>
      <x:c r="E273" s="24" t="n">
        <x:v>7926791</x:v>
      </x:c>
      <x:c r="F273" s="23" t="str">
        <x:v>ERP simulado</x:v>
      </x:c>
      <x:c r="G273" s="23" t="str">
        <x:v>Actual</x:v>
      </x:c>
      <x:c r="H273" s="23" t="str">
        <x:v>EUR</x:v>
      </x:c>
    </x:row>
    <x:row r="274">
      <x:c r="A274" s="23" t="str">
        <x:v>2025-04</x:v>
      </x:c>
      <x:c r="B274" s="23" t="str">
        <x:v>2025-04-30</x:v>
      </x:c>
      <x:c r="C274" s="23" t="str">
        <x:v>1000</x:v>
      </x:c>
      <x:c r="D274" s="23" t="str">
        <x:v>Efectivo y equivalentes</x:v>
      </x:c>
      <x:c r="E274" s="24" t="n">
        <x:v>2403485</x:v>
      </x:c>
      <x:c r="F274" s="23" t="str">
        <x:v>ERP simulado</x:v>
      </x:c>
      <x:c r="G274" s="23" t="str">
        <x:v>Actual</x:v>
      </x:c>
      <x:c r="H274" s="23" t="str">
        <x:v>EUR</x:v>
      </x:c>
    </x:row>
    <x:row r="275">
      <x:c r="A275" s="23" t="str">
        <x:v>2025-04</x:v>
      </x:c>
      <x:c r="B275" s="23" t="str">
        <x:v>2025-04-30</x:v>
      </x:c>
      <x:c r="C275" s="23" t="str">
        <x:v>1100</x:v>
      </x:c>
      <x:c r="D275" s="23" t="str">
        <x:v>Clientes</x:v>
      </x:c>
      <x:c r="E275" s="24" t="n">
        <x:v>6586444</x:v>
      </x:c>
      <x:c r="F275" s="23" t="str">
        <x:v>ERP simulado</x:v>
      </x:c>
      <x:c r="G275" s="23" t="str">
        <x:v>Actual</x:v>
      </x:c>
      <x:c r="H275" s="23" t="str">
        <x:v>EUR</x:v>
      </x:c>
    </x:row>
    <x:row r="276">
      <x:c r="A276" s="23" t="str">
        <x:v>2025-04</x:v>
      </x:c>
      <x:c r="B276" s="23" t="str">
        <x:v>2025-04-30</x:v>
      </x:c>
      <x:c r="C276" s="23" t="str">
        <x:v>1200</x:v>
      </x:c>
      <x:c r="D276" s="23" t="str">
        <x:v>Existencias</x:v>
      </x:c>
      <x:c r="E276" s="24" t="n">
        <x:v>3672760</x:v>
      </x:c>
      <x:c r="F276" s="23" t="str">
        <x:v>ERP simulado</x:v>
      </x:c>
      <x:c r="G276" s="23" t="str">
        <x:v>Actual</x:v>
      </x:c>
      <x:c r="H276" s="23" t="str">
        <x:v>EUR</x:v>
      </x:c>
    </x:row>
    <x:row r="277">
      <x:c r="A277" s="23" t="str">
        <x:v>2025-04</x:v>
      </x:c>
      <x:c r="B277" s="23" t="str">
        <x:v>2025-04-30</x:v>
      </x:c>
      <x:c r="C277" s="23" t="str">
        <x:v>1300</x:v>
      </x:c>
      <x:c r="D277" s="23" t="str">
        <x:v>Pagos anticipados y otros activos corrientes</x:v>
      </x:c>
      <x:c r="E277" s="24" t="n">
        <x:v>611502</x:v>
      </x:c>
      <x:c r="F277" s="23" t="str">
        <x:v>ERP simulado</x:v>
      </x:c>
      <x:c r="G277" s="23" t="str">
        <x:v>Actual</x:v>
      </x:c>
      <x:c r="H277" s="23" t="str">
        <x:v>EUR</x:v>
      </x:c>
    </x:row>
    <x:row r="278">
      <x:c r="A278" s="23" t="str">
        <x:v>2025-04</x:v>
      </x:c>
      <x:c r="B278" s="23" t="str">
        <x:v>2025-04-30</x:v>
      </x:c>
      <x:c r="C278" s="23" t="str">
        <x:v>1400</x:v>
      </x:c>
      <x:c r="D278" s="23" t="str">
        <x:v>Inmovilizado material neto</x:v>
      </x:c>
      <x:c r="E278" s="24" t="n">
        <x:v>8301240</x:v>
      </x:c>
      <x:c r="F278" s="23" t="str">
        <x:v>ERP simulado</x:v>
      </x:c>
      <x:c r="G278" s="23" t="str">
        <x:v>Actual</x:v>
      </x:c>
      <x:c r="H278" s="23" t="str">
        <x:v>EUR</x:v>
      </x:c>
    </x:row>
    <x:row r="279">
      <x:c r="A279" s="23" t="str">
        <x:v>2025-04</x:v>
      </x:c>
      <x:c r="B279" s="23" t="str">
        <x:v>2025-04-30</x:v>
      </x:c>
      <x:c r="C279" s="23" t="str">
        <x:v>1500</x:v>
      </x:c>
      <x:c r="D279" s="23" t="str">
        <x:v>Activos intangibles netos</x:v>
      </x:c>
      <x:c r="E279" s="24" t="n">
        <x:v>1196000</x:v>
      </x:c>
      <x:c r="F279" s="23" t="str">
        <x:v>ERP simulado</x:v>
      </x:c>
      <x:c r="G279" s="23" t="str">
        <x:v>Actual</x:v>
      </x:c>
      <x:c r="H279" s="23" t="str">
        <x:v>EUR</x:v>
      </x:c>
    </x:row>
    <x:row r="280">
      <x:c r="A280" s="23" t="str">
        <x:v>2025-04</x:v>
      </x:c>
      <x:c r="B280" s="23" t="str">
        <x:v>2025-04-30</x:v>
      </x:c>
      <x:c r="C280" s="23" t="str">
        <x:v>1600</x:v>
      </x:c>
      <x:c r="D280" s="23" t="str">
        <x:v>Otros activos no corrientes</x:v>
      </x:c>
      <x:c r="E280" s="24" t="n">
        <x:v>800000</x:v>
      </x:c>
      <x:c r="F280" s="23" t="str">
        <x:v>ERP simulado</x:v>
      </x:c>
      <x:c r="G280" s="23" t="str">
        <x:v>Actual</x:v>
      </x:c>
      <x:c r="H280" s="23" t="str">
        <x:v>EUR</x:v>
      </x:c>
    </x:row>
    <x:row r="281">
      <x:c r="A281" s="23" t="str">
        <x:v>2025-04</x:v>
      </x:c>
      <x:c r="B281" s="23" t="str">
        <x:v>2025-04-30</x:v>
      </x:c>
      <x:c r="C281" s="23" t="str">
        <x:v>2000</x:v>
      </x:c>
      <x:c r="D281" s="23" t="str">
        <x:v>Proveedores</x:v>
      </x:c>
      <x:c r="E281" s="24" t="n">
        <x:v>2719933</x:v>
      </x:c>
      <x:c r="F281" s="23" t="str">
        <x:v>ERP simulado</x:v>
      </x:c>
      <x:c r="G281" s="23" t="str">
        <x:v>Actual</x:v>
      </x:c>
      <x:c r="H281" s="23" t="str">
        <x:v>EUR</x:v>
      </x:c>
    </x:row>
    <x:row r="282">
      <x:c r="A282" s="23" t="str">
        <x:v>2025-04</x:v>
      </x:c>
      <x:c r="B282" s="23" t="str">
        <x:v>2025-04-30</x:v>
      </x:c>
      <x:c r="C282" s="23" t="str">
        <x:v>2100</x:v>
      </x:c>
      <x:c r="D282" s="23" t="str">
        <x:v>Acreedores y gastos devengados</x:v>
      </x:c>
      <x:c r="E282" s="24" t="n">
        <x:v>873574</x:v>
      </x:c>
      <x:c r="F282" s="23" t="str">
        <x:v>ERP simulado</x:v>
      </x:c>
      <x:c r="G282" s="23" t="str">
        <x:v>Actual</x:v>
      </x:c>
      <x:c r="H282" s="23" t="str">
        <x:v>EUR</x:v>
      </x:c>
    </x:row>
    <x:row r="283">
      <x:c r="A283" s="23" t="str">
        <x:v>2025-04</x:v>
      </x:c>
      <x:c r="B283" s="23" t="str">
        <x:v>2025-04-30</x:v>
      </x:c>
      <x:c r="C283" s="23" t="str">
        <x:v>2200</x:v>
      </x:c>
      <x:c r="D283" s="23" t="str">
        <x:v>Impuestos a pagar</x:v>
      </x:c>
      <x:c r="E283" s="24" t="n">
        <x:v>85697</x:v>
      </x:c>
      <x:c r="F283" s="23" t="str">
        <x:v>ERP simulado</x:v>
      </x:c>
      <x:c r="G283" s="23" t="str">
        <x:v>Actual</x:v>
      </x:c>
      <x:c r="H283" s="23" t="str">
        <x:v>EUR</x:v>
      </x:c>
    </x:row>
    <x:row r="284">
      <x:c r="A284" s="23" t="str">
        <x:v>2025-04</x:v>
      </x:c>
      <x:c r="B284" s="23" t="str">
        <x:v>2025-04-30</x:v>
      </x:c>
      <x:c r="C284" s="23" t="str">
        <x:v>2300</x:v>
      </x:c>
      <x:c r="D284" s="23" t="str">
        <x:v>Deuda financiera corriente</x:v>
      </x:c>
      <x:c r="E284" s="24" t="n">
        <x:v>1075000</x:v>
      </x:c>
      <x:c r="F284" s="23" t="str">
        <x:v>ERP simulado</x:v>
      </x:c>
      <x:c r="G284" s="23" t="str">
        <x:v>Actual</x:v>
      </x:c>
      <x:c r="H284" s="23" t="str">
        <x:v>EUR</x:v>
      </x:c>
    </x:row>
    <x:row r="285">
      <x:c r="A285" s="23" t="str">
        <x:v>2025-04</x:v>
      </x:c>
      <x:c r="B285" s="23" t="str">
        <x:v>2025-04-30</x:v>
      </x:c>
      <x:c r="C285" s="23" t="str">
        <x:v>2400</x:v>
      </x:c>
      <x:c r="D285" s="23" t="str">
        <x:v>Pasivos por arrendamiento corrientes</x:v>
      </x:c>
      <x:c r="E285" s="24" t="n">
        <x:v>180000</x:v>
      </x:c>
      <x:c r="F285" s="23" t="str">
        <x:v>ERP simulado</x:v>
      </x:c>
      <x:c r="G285" s="23" t="str">
        <x:v>Actual</x:v>
      </x:c>
      <x:c r="H285" s="23" t="str">
        <x:v>EUR</x:v>
      </x:c>
    </x:row>
    <x:row r="286">
      <x:c r="A286" s="23" t="str">
        <x:v>2025-04</x:v>
      </x:c>
      <x:c r="B286" s="23" t="str">
        <x:v>2025-04-30</x:v>
      </x:c>
      <x:c r="C286" s="23" t="str">
        <x:v>2500</x:v>
      </x:c>
      <x:c r="D286" s="23" t="str">
        <x:v>Deuda financiera no corriente</x:v>
      </x:c>
      <x:c r="E286" s="24" t="n">
        <x:v>4300000</x:v>
      </x:c>
      <x:c r="F286" s="23" t="str">
        <x:v>ERP simulado</x:v>
      </x:c>
      <x:c r="G286" s="23" t="str">
        <x:v>Actual</x:v>
      </x:c>
      <x:c r="H286" s="23" t="str">
        <x:v>EUR</x:v>
      </x:c>
    </x:row>
    <x:row r="287">
      <x:c r="A287" s="23" t="str">
        <x:v>2025-04</x:v>
      </x:c>
      <x:c r="B287" s="23" t="str">
        <x:v>2025-04-30</x:v>
      </x:c>
      <x:c r="C287" s="23" t="str">
        <x:v>2600</x:v>
      </x:c>
      <x:c r="D287" s="23" t="str">
        <x:v>Pasivos por arrendamiento no corrientes</x:v>
      </x:c>
      <x:c r="E287" s="24" t="n">
        <x:v>420000</x:v>
      </x:c>
      <x:c r="F287" s="23" t="str">
        <x:v>ERP simulado</x:v>
      </x:c>
      <x:c r="G287" s="23" t="str">
        <x:v>Actual</x:v>
      </x:c>
      <x:c r="H287" s="23" t="str">
        <x:v>EUR</x:v>
      </x:c>
    </x:row>
    <x:row r="288">
      <x:c r="A288" s="23" t="str">
        <x:v>2025-04</x:v>
      </x:c>
      <x:c r="B288" s="23" t="str">
        <x:v>2025-04-30</x:v>
      </x:c>
      <x:c r="C288" s="23" t="str">
        <x:v>2700</x:v>
      </x:c>
      <x:c r="D288" s="23" t="str">
        <x:v>Otros pasivos</x:v>
      </x:c>
      <x:c r="E288" s="24" t="n">
        <x:v>800000</x:v>
      </x:c>
      <x:c r="F288" s="23" t="str">
        <x:v>ERP simulado</x:v>
      </x:c>
      <x:c r="G288" s="23" t="str">
        <x:v>Actual</x:v>
      </x:c>
      <x:c r="H288" s="23" t="str">
        <x:v>EUR</x:v>
      </x:c>
    </x:row>
    <x:row r="289">
      <x:c r="A289" s="23" t="str">
        <x:v>2025-04</x:v>
      </x:c>
      <x:c r="B289" s="23" t="str">
        <x:v>2025-04-30</x:v>
      </x:c>
      <x:c r="C289" s="23" t="str">
        <x:v>3000</x:v>
      </x:c>
      <x:c r="D289" s="23" t="str">
        <x:v>Capital social</x:v>
      </x:c>
      <x:c r="E289" s="24" t="n">
        <x:v>5000000</x:v>
      </x:c>
      <x:c r="F289" s="23" t="str">
        <x:v>ERP simulado</x:v>
      </x:c>
      <x:c r="G289" s="23" t="str">
        <x:v>Actual</x:v>
      </x:c>
      <x:c r="H289" s="23" t="str">
        <x:v>EUR</x:v>
      </x:c>
    </x:row>
    <x:row r="290">
      <x:c r="A290" s="23" t="str">
        <x:v>2025-04</x:v>
      </x:c>
      <x:c r="B290" s="23" t="str">
        <x:v>2025-04-30</x:v>
      </x:c>
      <x:c r="C290" s="23" t="str">
        <x:v>3100</x:v>
      </x:c>
      <x:c r="D290" s="23" t="str">
        <x:v>Resultados acumulados</x:v>
      </x:c>
      <x:c r="E290" s="24" t="n">
        <x:v>8117227</x:v>
      </x:c>
      <x:c r="F290" s="23" t="str">
        <x:v>ERP simulado</x:v>
      </x:c>
      <x:c r="G290" s="23" t="str">
        <x:v>Actual</x:v>
      </x:c>
      <x:c r="H290" s="23" t="str">
        <x:v>EUR</x:v>
      </x:c>
    </x:row>
    <x:row r="291">
      <x:c r="A291" s="23" t="str">
        <x:v>2025-05</x:v>
      </x:c>
      <x:c r="B291" s="23" t="str">
        <x:v>2025-05-31</x:v>
      </x:c>
      <x:c r="C291" s="23" t="str">
        <x:v>1000</x:v>
      </x:c>
      <x:c r="D291" s="23" t="str">
        <x:v>Efectivo y equivalentes</x:v>
      </x:c>
      <x:c r="E291" s="24" t="n">
        <x:v>3660505</x:v>
      </x:c>
      <x:c r="F291" s="23" t="str">
        <x:v>ERP simulado</x:v>
      </x:c>
      <x:c r="G291" s="23" t="str">
        <x:v>Actual</x:v>
      </x:c>
      <x:c r="H291" s="23" t="str">
        <x:v>EUR</x:v>
      </x:c>
    </x:row>
    <x:row r="292">
      <x:c r="A292" s="23" t="str">
        <x:v>2025-05</x:v>
      </x:c>
      <x:c r="B292" s="23" t="str">
        <x:v>2025-05-31</x:v>
      </x:c>
      <x:c r="C292" s="23" t="str">
        <x:v>1100</x:v>
      </x:c>
      <x:c r="D292" s="23" t="str">
        <x:v>Clientes</x:v>
      </x:c>
      <x:c r="E292" s="24" t="n">
        <x:v>6634239</x:v>
      </x:c>
      <x:c r="F292" s="23" t="str">
        <x:v>ERP simulado</x:v>
      </x:c>
      <x:c r="G292" s="23" t="str">
        <x:v>Actual</x:v>
      </x:c>
      <x:c r="H292" s="23" t="str">
        <x:v>EUR</x:v>
      </x:c>
    </x:row>
    <x:row r="293">
      <x:c r="A293" s="23" t="str">
        <x:v>2025-05</x:v>
      </x:c>
      <x:c r="B293" s="23" t="str">
        <x:v>2025-05-31</x:v>
      </x:c>
      <x:c r="C293" s="23" t="str">
        <x:v>1200</x:v>
      </x:c>
      <x:c r="D293" s="23" t="str">
        <x:v>Existencias</x:v>
      </x:c>
      <x:c r="E293" s="24" t="n">
        <x:v>3718201</x:v>
      </x:c>
      <x:c r="F293" s="23" t="str">
        <x:v>ERP simulado</x:v>
      </x:c>
      <x:c r="G293" s="23" t="str">
        <x:v>Actual</x:v>
      </x:c>
      <x:c r="H293" s="23" t="str">
        <x:v>EUR</x:v>
      </x:c>
    </x:row>
    <x:row r="294">
      <x:c r="A294" s="23" t="str">
        <x:v>2025-05</x:v>
      </x:c>
      <x:c r="B294" s="23" t="str">
        <x:v>2025-05-31</x:v>
      </x:c>
      <x:c r="C294" s="23" t="str">
        <x:v>1300</x:v>
      </x:c>
      <x:c r="D294" s="23" t="str">
        <x:v>Pagos anticipados y otros activos corrientes</x:v>
      </x:c>
      <x:c r="E294" s="24" t="n">
        <x:v>639965</x:v>
      </x:c>
      <x:c r="F294" s="23" t="str">
        <x:v>ERP simulado</x:v>
      </x:c>
      <x:c r="G294" s="23" t="str">
        <x:v>Actual</x:v>
      </x:c>
      <x:c r="H294" s="23" t="str">
        <x:v>EUR</x:v>
      </x:c>
    </x:row>
    <x:row r="295">
      <x:c r="A295" s="23" t="str">
        <x:v>2025-05</x:v>
      </x:c>
      <x:c r="B295" s="23" t="str">
        <x:v>2025-05-31</x:v>
      </x:c>
      <x:c r="C295" s="23" t="str">
        <x:v>1400</x:v>
      </x:c>
      <x:c r="D295" s="23" t="str">
        <x:v>Inmovilizado material neto</x:v>
      </x:c>
      <x:c r="E295" s="24" t="n">
        <x:v>8275907</x:v>
      </x:c>
      <x:c r="F295" s="23" t="str">
        <x:v>ERP simulado</x:v>
      </x:c>
      <x:c r="G295" s="23" t="str">
        <x:v>Actual</x:v>
      </x:c>
      <x:c r="H295" s="23" t="str">
        <x:v>EUR</x:v>
      </x:c>
    </x:row>
    <x:row r="296">
      <x:c r="A296" s="23" t="str">
        <x:v>2025-05</x:v>
      </x:c>
      <x:c r="B296" s="23" t="str">
        <x:v>2025-05-31</x:v>
      </x:c>
      <x:c r="C296" s="23" t="str">
        <x:v>1500</x:v>
      </x:c>
      <x:c r="D296" s="23" t="str">
        <x:v>Activos intangibles netos</x:v>
      </x:c>
      <x:c r="E296" s="24" t="n">
        <x:v>1183400</x:v>
      </x:c>
      <x:c r="F296" s="23" t="str">
        <x:v>ERP simulado</x:v>
      </x:c>
      <x:c r="G296" s="23" t="str">
        <x:v>Actual</x:v>
      </x:c>
      <x:c r="H296" s="23" t="str">
        <x:v>EUR</x:v>
      </x:c>
    </x:row>
    <x:row r="297">
      <x:c r="A297" s="23" t="str">
        <x:v>2025-05</x:v>
      </x:c>
      <x:c r="B297" s="23" t="str">
        <x:v>2025-05-31</x:v>
      </x:c>
      <x:c r="C297" s="23" t="str">
        <x:v>1600</x:v>
      </x:c>
      <x:c r="D297" s="23" t="str">
        <x:v>Otros activos no corrientes</x:v>
      </x:c>
      <x:c r="E297" s="24" t="n">
        <x:v>800000</x:v>
      </x:c>
      <x:c r="F297" s="23" t="str">
        <x:v>ERP simulado</x:v>
      </x:c>
      <x:c r="G297" s="23" t="str">
        <x:v>Actual</x:v>
      </x:c>
      <x:c r="H297" s="23" t="str">
        <x:v>EUR</x:v>
      </x:c>
    </x:row>
    <x:row r="298">
      <x:c r="A298" s="23" t="str">
        <x:v>2025-05</x:v>
      </x:c>
      <x:c r="B298" s="23" t="str">
        <x:v>2025-05-31</x:v>
      </x:c>
      <x:c r="C298" s="23" t="str">
        <x:v>2000</x:v>
      </x:c>
      <x:c r="D298" s="23" t="str">
        <x:v>Proveedores</x:v>
      </x:c>
      <x:c r="E298" s="24" t="n">
        <x:v>2737497</x:v>
      </x:c>
      <x:c r="F298" s="23" t="str">
        <x:v>ERP simulado</x:v>
      </x:c>
      <x:c r="G298" s="23" t="str">
        <x:v>Actual</x:v>
      </x:c>
      <x:c r="H298" s="23" t="str">
        <x:v>EUR</x:v>
      </x:c>
    </x:row>
    <x:row r="299">
      <x:c r="A299" s="23" t="str">
        <x:v>2025-05</x:v>
      </x:c>
      <x:c r="B299" s="23" t="str">
        <x:v>2025-05-31</x:v>
      </x:c>
      <x:c r="C299" s="23" t="str">
        <x:v>2100</x:v>
      </x:c>
      <x:c r="D299" s="23" t="str">
        <x:v>Acreedores y gastos devengados</x:v>
      </x:c>
      <x:c r="E299" s="24" t="n">
        <x:v>914235</x:v>
      </x:c>
      <x:c r="F299" s="23" t="str">
        <x:v>ERP simulado</x:v>
      </x:c>
      <x:c r="G299" s="23" t="str">
        <x:v>Actual</x:v>
      </x:c>
      <x:c r="H299" s="23" t="str">
        <x:v>EUR</x:v>
      </x:c>
    </x:row>
    <x:row r="300">
      <x:c r="A300" s="23" t="str">
        <x:v>2025-05</x:v>
      </x:c>
      <x:c r="B300" s="23" t="str">
        <x:v>2025-05-31</x:v>
      </x:c>
      <x:c r="C300" s="23" t="str">
        <x:v>2200</x:v>
      </x:c>
      <x:c r="D300" s="23" t="str">
        <x:v>Impuestos a pagar</x:v>
      </x:c>
      <x:c r="E300" s="24" t="n">
        <x:v>91012</x:v>
      </x:c>
      <x:c r="F300" s="23" t="str">
        <x:v>ERP simulado</x:v>
      </x:c>
      <x:c r="G300" s="23" t="str">
        <x:v>Actual</x:v>
      </x:c>
      <x:c r="H300" s="23" t="str">
        <x:v>EUR</x:v>
      </x:c>
    </x:row>
    <x:row r="301">
      <x:c r="A301" s="23" t="str">
        <x:v>2025-05</x:v>
      </x:c>
      <x:c r="B301" s="23" t="str">
        <x:v>2025-05-31</x:v>
      </x:c>
      <x:c r="C301" s="23" t="str">
        <x:v>2300</x:v>
      </x:c>
      <x:c r="D301" s="23" t="str">
        <x:v>Deuda financiera corriente</x:v>
      </x:c>
      <x:c r="E301" s="24" t="n">
        <x:v>1295000</x:v>
      </x:c>
      <x:c r="F301" s="23" t="str">
        <x:v>ERP simulado</x:v>
      </x:c>
      <x:c r="G301" s="23" t="str">
        <x:v>Actual</x:v>
      </x:c>
      <x:c r="H301" s="23" t="str">
        <x:v>EUR</x:v>
      </x:c>
    </x:row>
    <x:row r="302">
      <x:c r="A302" s="23" t="str">
        <x:v>2025-05</x:v>
      </x:c>
      <x:c r="B302" s="23" t="str">
        <x:v>2025-05-31</x:v>
      </x:c>
      <x:c r="C302" s="23" t="str">
        <x:v>2400</x:v>
      </x:c>
      <x:c r="D302" s="23" t="str">
        <x:v>Pasivos por arrendamiento corrientes</x:v>
      </x:c>
      <x:c r="E302" s="24" t="n">
        <x:v>172500</x:v>
      </x:c>
      <x:c r="F302" s="23" t="str">
        <x:v>ERP simulado</x:v>
      </x:c>
      <x:c r="G302" s="23" t="str">
        <x:v>Actual</x:v>
      </x:c>
      <x:c r="H302" s="23" t="str">
        <x:v>EUR</x:v>
      </x:c>
    </x:row>
    <x:row r="303">
      <x:c r="A303" s="23" t="str">
        <x:v>2025-05</x:v>
      </x:c>
      <x:c r="B303" s="23" t="str">
        <x:v>2025-05-31</x:v>
      </x:c>
      <x:c r="C303" s="23" t="str">
        <x:v>2500</x:v>
      </x:c>
      <x:c r="D303" s="23" t="str">
        <x:v>Deuda financiera no corriente</x:v>
      </x:c>
      <x:c r="E303" s="24" t="n">
        <x:v>5180000</x:v>
      </x:c>
      <x:c r="F303" s="23" t="str">
        <x:v>ERP simulado</x:v>
      </x:c>
      <x:c r="G303" s="23" t="str">
        <x:v>Actual</x:v>
      </x:c>
      <x:c r="H303" s="23" t="str">
        <x:v>EUR</x:v>
      </x:c>
    </x:row>
    <x:row r="304">
      <x:c r="A304" s="23" t="str">
        <x:v>2025-05</x:v>
      </x:c>
      <x:c r="B304" s="23" t="str">
        <x:v>2025-05-31</x:v>
      </x:c>
      <x:c r="C304" s="23" t="str">
        <x:v>2600</x:v>
      </x:c>
      <x:c r="D304" s="23" t="str">
        <x:v>Pasivos por arrendamiento no corrientes</x:v>
      </x:c>
      <x:c r="E304" s="24" t="n">
        <x:v>402500</x:v>
      </x:c>
      <x:c r="F304" s="23" t="str">
        <x:v>ERP simulado</x:v>
      </x:c>
      <x:c r="G304" s="23" t="str">
        <x:v>Actual</x:v>
      </x:c>
      <x:c r="H304" s="23" t="str">
        <x:v>EUR</x:v>
      </x:c>
    </x:row>
    <x:row r="305">
      <x:c r="A305" s="23" t="str">
        <x:v>2025-05</x:v>
      </x:c>
      <x:c r="B305" s="23" t="str">
        <x:v>2025-05-31</x:v>
      </x:c>
      <x:c r="C305" s="23" t="str">
        <x:v>2700</x:v>
      </x:c>
      <x:c r="D305" s="23" t="str">
        <x:v>Otros pasivos</x:v>
      </x:c>
      <x:c r="E305" s="24" t="n">
        <x:v>800000</x:v>
      </x:c>
      <x:c r="F305" s="23" t="str">
        <x:v>ERP simulado</x:v>
      </x:c>
      <x:c r="G305" s="23" t="str">
        <x:v>Actual</x:v>
      </x:c>
      <x:c r="H305" s="23" t="str">
        <x:v>EUR</x:v>
      </x:c>
    </x:row>
    <x:row r="306">
      <x:c r="A306" s="23" t="str">
        <x:v>2025-05</x:v>
      </x:c>
      <x:c r="B306" s="23" t="str">
        <x:v>2025-05-31</x:v>
      </x:c>
      <x:c r="C306" s="23" t="str">
        <x:v>3000</x:v>
      </x:c>
      <x:c r="D306" s="23" t="str">
        <x:v>Capital social</x:v>
      </x:c>
      <x:c r="E306" s="24" t="n">
        <x:v>5000000</x:v>
      </x:c>
      <x:c r="F306" s="23" t="str">
        <x:v>ERP simulado</x:v>
      </x:c>
      <x:c r="G306" s="23" t="str">
        <x:v>Actual</x:v>
      </x:c>
      <x:c r="H306" s="23" t="str">
        <x:v>EUR</x:v>
      </x:c>
    </x:row>
    <x:row r="307">
      <x:c r="A307" s="23" t="str">
        <x:v>2025-05</x:v>
      </x:c>
      <x:c r="B307" s="23" t="str">
        <x:v>2025-05-31</x:v>
      </x:c>
      <x:c r="C307" s="23" t="str">
        <x:v>3100</x:v>
      </x:c>
      <x:c r="D307" s="23" t="str">
        <x:v>Resultados acumulados</x:v>
      </x:c>
      <x:c r="E307" s="24" t="n">
        <x:v>8319473</x:v>
      </x:c>
      <x:c r="F307" s="23" t="str">
        <x:v>ERP simulado</x:v>
      </x:c>
      <x:c r="G307" s="23" t="str">
        <x:v>Actual</x:v>
      </x:c>
      <x:c r="H307" s="23" t="str">
        <x:v>EUR</x:v>
      </x:c>
    </x:row>
    <x:row r="308">
      <x:c r="A308" s="23" t="str">
        <x:v>2025-06</x:v>
      </x:c>
      <x:c r="B308" s="23" t="str">
        <x:v>2025-06-30</x:v>
      </x:c>
      <x:c r="C308" s="23" t="str">
        <x:v>1000</x:v>
      </x:c>
      <x:c r="D308" s="23" t="str">
        <x:v>Efectivo y equivalentes</x:v>
      </x:c>
      <x:c r="E308" s="24" t="n">
        <x:v>3275639</x:v>
      </x:c>
      <x:c r="F308" s="23" t="str">
        <x:v>ERP simulado</x:v>
      </x:c>
      <x:c r="G308" s="23" t="str">
        <x:v>Actual</x:v>
      </x:c>
      <x:c r="H308" s="23" t="str">
        <x:v>EUR</x:v>
      </x:c>
    </x:row>
    <x:row r="309">
      <x:c r="A309" s="23" t="str">
        <x:v>2025-06</x:v>
      </x:c>
      <x:c r="B309" s="23" t="str">
        <x:v>2025-06-30</x:v>
      </x:c>
      <x:c r="C309" s="23" t="str">
        <x:v>1100</x:v>
      </x:c>
      <x:c r="D309" s="23" t="str">
        <x:v>Clientes</x:v>
      </x:c>
      <x:c r="E309" s="24" t="n">
        <x:v>6999283</x:v>
      </x:c>
      <x:c r="F309" s="23" t="str">
        <x:v>ERP simulado</x:v>
      </x:c>
      <x:c r="G309" s="23" t="str">
        <x:v>Actual</x:v>
      </x:c>
      <x:c r="H309" s="23" t="str">
        <x:v>EUR</x:v>
      </x:c>
    </x:row>
    <x:row r="310">
      <x:c r="A310" s="23" t="str">
        <x:v>2025-06</x:v>
      </x:c>
      <x:c r="B310" s="23" t="str">
        <x:v>2025-06-30</x:v>
      </x:c>
      <x:c r="C310" s="23" t="str">
        <x:v>1200</x:v>
      </x:c>
      <x:c r="D310" s="23" t="str">
        <x:v>Existencias</x:v>
      </x:c>
      <x:c r="E310" s="24" t="n">
        <x:v>3945022</x:v>
      </x:c>
      <x:c r="F310" s="23" t="str">
        <x:v>ERP simulado</x:v>
      </x:c>
      <x:c r="G310" s="23" t="str">
        <x:v>Actual</x:v>
      </x:c>
      <x:c r="H310" s="23" t="str">
        <x:v>EUR</x:v>
      </x:c>
    </x:row>
    <x:row r="311">
      <x:c r="A311" s="23" t="str">
        <x:v>2025-06</x:v>
      </x:c>
      <x:c r="B311" s="23" t="str">
        <x:v>2025-06-30</x:v>
      </x:c>
      <x:c r="C311" s="23" t="str">
        <x:v>1300</x:v>
      </x:c>
      <x:c r="D311" s="23" t="str">
        <x:v>Pagos anticipados y otros activos corrientes</x:v>
      </x:c>
      <x:c r="E311" s="24" t="n">
        <x:v>656085</x:v>
      </x:c>
      <x:c r="F311" s="23" t="str">
        <x:v>ERP simulado</x:v>
      </x:c>
      <x:c r="G311" s="23" t="str">
        <x:v>Actual</x:v>
      </x:c>
      <x:c r="H311" s="23" t="str">
        <x:v>EUR</x:v>
      </x:c>
    </x:row>
    <x:row r="312">
      <x:c r="A312" s="23" t="str">
        <x:v>2025-06</x:v>
      </x:c>
      <x:c r="B312" s="23" t="str">
        <x:v>2025-06-30</x:v>
      </x:c>
      <x:c r="C312" s="23" t="str">
        <x:v>1400</x:v>
      </x:c>
      <x:c r="D312" s="23" t="str">
        <x:v>Inmovilizado material neto</x:v>
      </x:c>
      <x:c r="E312" s="24" t="n">
        <x:v>8173952</x:v>
      </x:c>
      <x:c r="F312" s="23" t="str">
        <x:v>ERP simulado</x:v>
      </x:c>
      <x:c r="G312" s="23" t="str">
        <x:v>Actual</x:v>
      </x:c>
      <x:c r="H312" s="23" t="str">
        <x:v>EUR</x:v>
      </x:c>
    </x:row>
    <x:row r="313">
      <x:c r="A313" s="23" t="str">
        <x:v>2025-06</x:v>
      </x:c>
      <x:c r="B313" s="23" t="str">
        <x:v>2025-06-30</x:v>
      </x:c>
      <x:c r="C313" s="23" t="str">
        <x:v>1500</x:v>
      </x:c>
      <x:c r="D313" s="23" t="str">
        <x:v>Activos intangibles netos</x:v>
      </x:c>
      <x:c r="E313" s="24" t="n">
        <x:v>1200450</x:v>
      </x:c>
      <x:c r="F313" s="23" t="str">
        <x:v>ERP simulado</x:v>
      </x:c>
      <x:c r="G313" s="23" t="str">
        <x:v>Actual</x:v>
      </x:c>
      <x:c r="H313" s="23" t="str">
        <x:v>EUR</x:v>
      </x:c>
    </x:row>
    <x:row r="314">
      <x:c r="A314" s="23" t="str">
        <x:v>2025-06</x:v>
      </x:c>
      <x:c r="B314" s="23" t="str">
        <x:v>2025-06-30</x:v>
      </x:c>
      <x:c r="C314" s="23" t="str">
        <x:v>1600</x:v>
      </x:c>
      <x:c r="D314" s="23" t="str">
        <x:v>Otros activos no corrientes</x:v>
      </x:c>
      <x:c r="E314" s="24" t="n">
        <x:v>800000</x:v>
      </x:c>
      <x:c r="F314" s="23" t="str">
        <x:v>ERP simulado</x:v>
      </x:c>
      <x:c r="G314" s="23" t="str">
        <x:v>Actual</x:v>
      </x:c>
      <x:c r="H314" s="23" t="str">
        <x:v>EUR</x:v>
      </x:c>
    </x:row>
    <x:row r="315">
      <x:c r="A315" s="23" t="str">
        <x:v>2025-06</x:v>
      </x:c>
      <x:c r="B315" s="23" t="str">
        <x:v>2025-06-30</x:v>
      </x:c>
      <x:c r="C315" s="23" t="str">
        <x:v>2000</x:v>
      </x:c>
      <x:c r="D315" s="23" t="str">
        <x:v>Proveedores</x:v>
      </x:c>
      <x:c r="E315" s="24" t="n">
        <x:v>2880130</x:v>
      </x:c>
      <x:c r="F315" s="23" t="str">
        <x:v>ERP simulado</x:v>
      </x:c>
      <x:c r="G315" s="23" t="str">
        <x:v>Actual</x:v>
      </x:c>
      <x:c r="H315" s="23" t="str">
        <x:v>EUR</x:v>
      </x:c>
    </x:row>
    <x:row r="316">
      <x:c r="A316" s="23" t="str">
        <x:v>2025-06</x:v>
      </x:c>
      <x:c r="B316" s="23" t="str">
        <x:v>2025-06-30</x:v>
      </x:c>
      <x:c r="C316" s="23" t="str">
        <x:v>2100</x:v>
      </x:c>
      <x:c r="D316" s="23" t="str">
        <x:v>Acreedores y gastos devengados</x:v>
      </x:c>
      <x:c r="E316" s="24" t="n">
        <x:v>937264</x:v>
      </x:c>
      <x:c r="F316" s="23" t="str">
        <x:v>ERP simulado</x:v>
      </x:c>
      <x:c r="G316" s="23" t="str">
        <x:v>Actual</x:v>
      </x:c>
      <x:c r="H316" s="23" t="str">
        <x:v>EUR</x:v>
      </x:c>
    </x:row>
    <x:row r="317">
      <x:c r="A317" s="23" t="str">
        <x:v>2025-06</x:v>
      </x:c>
      <x:c r="B317" s="23" t="str">
        <x:v>2025-06-30</x:v>
      </x:c>
      <x:c r="C317" s="23" t="str">
        <x:v>2200</x:v>
      </x:c>
      <x:c r="D317" s="23" t="str">
        <x:v>Impuestos a pagar</x:v>
      </x:c>
      <x:c r="E317" s="24" t="n">
        <x:v>66278</x:v>
      </x:c>
      <x:c r="F317" s="23" t="str">
        <x:v>ERP simulado</x:v>
      </x:c>
      <x:c r="G317" s="23" t="str">
        <x:v>Actual</x:v>
      </x:c>
      <x:c r="H317" s="23" t="str">
        <x:v>EUR</x:v>
      </x:c>
    </x:row>
    <x:row r="318">
      <x:c r="A318" s="23" t="str">
        <x:v>2025-06</x:v>
      </x:c>
      <x:c r="B318" s="23" t="str">
        <x:v>2025-06-30</x:v>
      </x:c>
      <x:c r="C318" s="23" t="str">
        <x:v>2300</x:v>
      </x:c>
      <x:c r="D318" s="23" t="str">
        <x:v>Deuda financiera corriente</x:v>
      </x:c>
      <x:c r="E318" s="24" t="n">
        <x:v>1270000</x:v>
      </x:c>
      <x:c r="F318" s="23" t="str">
        <x:v>ERP simulado</x:v>
      </x:c>
      <x:c r="G318" s="23" t="str">
        <x:v>Actual</x:v>
      </x:c>
      <x:c r="H318" s="23" t="str">
        <x:v>EUR</x:v>
      </x:c>
    </x:row>
    <x:row r="319">
      <x:c r="A319" s="23" t="str">
        <x:v>2025-06</x:v>
      </x:c>
      <x:c r="B319" s="23" t="str">
        <x:v>2025-06-30</x:v>
      </x:c>
      <x:c r="C319" s="23" t="str">
        <x:v>2400</x:v>
      </x:c>
      <x:c r="D319" s="23" t="str">
        <x:v>Pasivos por arrendamiento corrientes</x:v>
      </x:c>
      <x:c r="E319" s="24" t="n">
        <x:v>165000</x:v>
      </x:c>
      <x:c r="F319" s="23" t="str">
        <x:v>ERP simulado</x:v>
      </x:c>
      <x:c r="G319" s="23" t="str">
        <x:v>Actual</x:v>
      </x:c>
      <x:c r="H319" s="23" t="str">
        <x:v>EUR</x:v>
      </x:c>
    </x:row>
    <x:row r="320">
      <x:c r="A320" s="23" t="str">
        <x:v>2025-06</x:v>
      </x:c>
      <x:c r="B320" s="23" t="str">
        <x:v>2025-06-30</x:v>
      </x:c>
      <x:c r="C320" s="23" t="str">
        <x:v>2500</x:v>
      </x:c>
      <x:c r="D320" s="23" t="str">
        <x:v>Deuda financiera no corriente</x:v>
      </x:c>
      <x:c r="E320" s="24" t="n">
        <x:v>5080000</x:v>
      </x:c>
      <x:c r="F320" s="23" t="str">
        <x:v>ERP simulado</x:v>
      </x:c>
      <x:c r="G320" s="23" t="str">
        <x:v>Actual</x:v>
      </x:c>
      <x:c r="H320" s="23" t="str">
        <x:v>EUR</x:v>
      </x:c>
    </x:row>
    <x:row r="321">
      <x:c r="A321" s="23" t="str">
        <x:v>2025-06</x:v>
      </x:c>
      <x:c r="B321" s="23" t="str">
        <x:v>2025-06-30</x:v>
      </x:c>
      <x:c r="C321" s="23" t="str">
        <x:v>2600</x:v>
      </x:c>
      <x:c r="D321" s="23" t="str">
        <x:v>Pasivos por arrendamiento no corrientes</x:v>
      </x:c>
      <x:c r="E321" s="24" t="n">
        <x:v>385000</x:v>
      </x:c>
      <x:c r="F321" s="23" t="str">
        <x:v>ERP simulado</x:v>
      </x:c>
      <x:c r="G321" s="23" t="str">
        <x:v>Actual</x:v>
      </x:c>
      <x:c r="H321" s="23" t="str">
        <x:v>EUR</x:v>
      </x:c>
    </x:row>
    <x:row r="322">
      <x:c r="A322" s="23" t="str">
        <x:v>2025-06</x:v>
      </x:c>
      <x:c r="B322" s="23" t="str">
        <x:v>2025-06-30</x:v>
      </x:c>
      <x:c r="C322" s="23" t="str">
        <x:v>2700</x:v>
      </x:c>
      <x:c r="D322" s="23" t="str">
        <x:v>Otros pasivos</x:v>
      </x:c>
      <x:c r="E322" s="24" t="n">
        <x:v>800000</x:v>
      </x:c>
      <x:c r="F322" s="23" t="str">
        <x:v>ERP simulado</x:v>
      </x:c>
      <x:c r="G322" s="23" t="str">
        <x:v>Actual</x:v>
      </x:c>
      <x:c r="H322" s="23" t="str">
        <x:v>EUR</x:v>
      </x:c>
    </x:row>
    <x:row r="323">
      <x:c r="A323" s="23" t="str">
        <x:v>2025-06</x:v>
      </x:c>
      <x:c r="B323" s="23" t="str">
        <x:v>2025-06-30</x:v>
      </x:c>
      <x:c r="C323" s="23" t="str">
        <x:v>3000</x:v>
      </x:c>
      <x:c r="D323" s="23" t="str">
        <x:v>Capital social</x:v>
      </x:c>
      <x:c r="E323" s="24" t="n">
        <x:v>5000000</x:v>
      </x:c>
      <x:c r="F323" s="23" t="str">
        <x:v>ERP simulado</x:v>
      </x:c>
      <x:c r="G323" s="23" t="str">
        <x:v>Actual</x:v>
      </x:c>
      <x:c r="H323" s="23" t="str">
        <x:v>EUR</x:v>
      </x:c>
    </x:row>
    <x:row r="324">
      <x:c r="A324" s="23" t="str">
        <x:v>2025-06</x:v>
      </x:c>
      <x:c r="B324" s="23" t="str">
        <x:v>2025-06-30</x:v>
      </x:c>
      <x:c r="C324" s="23" t="str">
        <x:v>3100</x:v>
      </x:c>
      <x:c r="D324" s="23" t="str">
        <x:v>Resultados acumulados</x:v>
      </x:c>
      <x:c r="E324" s="24" t="n">
        <x:v>8466759</x:v>
      </x:c>
      <x:c r="F324" s="23" t="str">
        <x:v>ERP simulado</x:v>
      </x:c>
      <x:c r="G324" s="23" t="str">
        <x:v>Actual</x:v>
      </x:c>
      <x:c r="H324" s="23" t="str">
        <x:v>EUR</x:v>
      </x:c>
    </x:row>
    <x:row r="325">
      <x:c r="A325" s="23" t="str">
        <x:v>2025-07</x:v>
      </x:c>
      <x:c r="B325" s="23" t="str">
        <x:v>2025-07-31</x:v>
      </x:c>
      <x:c r="C325" s="23" t="str">
        <x:v>1000</x:v>
      </x:c>
      <x:c r="D325" s="23" t="str">
        <x:v>Efectivo y equivalentes</x:v>
      </x:c>
      <x:c r="E325" s="24" t="n">
        <x:v>3770782</x:v>
      </x:c>
      <x:c r="F325" s="23" t="str">
        <x:v>ERP simulado</x:v>
      </x:c>
      <x:c r="G325" s="23" t="str">
        <x:v>Actual</x:v>
      </x:c>
      <x:c r="H325" s="23" t="str">
        <x:v>EUR</x:v>
      </x:c>
    </x:row>
    <x:row r="326">
      <x:c r="A326" s="23" t="str">
        <x:v>2025-07</x:v>
      </x:c>
      <x:c r="B326" s="23" t="str">
        <x:v>2025-07-31</x:v>
      </x:c>
      <x:c r="C326" s="23" t="str">
        <x:v>1100</x:v>
      </x:c>
      <x:c r="D326" s="23" t="str">
        <x:v>Clientes</x:v>
      </x:c>
      <x:c r="E326" s="24" t="n">
        <x:v>6740837</x:v>
      </x:c>
      <x:c r="F326" s="23" t="str">
        <x:v>ERP simulado</x:v>
      </x:c>
      <x:c r="G326" s="23" t="str">
        <x:v>Actual</x:v>
      </x:c>
      <x:c r="H326" s="23" t="str">
        <x:v>EUR</x:v>
      </x:c>
    </x:row>
    <x:row r="327">
      <x:c r="A327" s="23" t="str">
        <x:v>2025-07</x:v>
      </x:c>
      <x:c r="B327" s="23" t="str">
        <x:v>2025-07-31</x:v>
      </x:c>
      <x:c r="C327" s="23" t="str">
        <x:v>1200</x:v>
      </x:c>
      <x:c r="D327" s="23" t="str">
        <x:v>Existencias</x:v>
      </x:c>
      <x:c r="E327" s="24" t="n">
        <x:v>3821809</x:v>
      </x:c>
      <x:c r="F327" s="23" t="str">
        <x:v>ERP simulado</x:v>
      </x:c>
      <x:c r="G327" s="23" t="str">
        <x:v>Actual</x:v>
      </x:c>
      <x:c r="H327" s="23" t="str">
        <x:v>EUR</x:v>
      </x:c>
    </x:row>
    <x:row r="328">
      <x:c r="A328" s="23" t="str">
        <x:v>2025-07</x:v>
      </x:c>
      <x:c r="B328" s="23" t="str">
        <x:v>2025-07-31</x:v>
      </x:c>
      <x:c r="C328" s="23" t="str">
        <x:v>1300</x:v>
      </x:c>
      <x:c r="D328" s="23" t="str">
        <x:v>Pagos anticipados y otros activos corrientes</x:v>
      </x:c>
      <x:c r="E328" s="24" t="n">
        <x:v>654529</x:v>
      </x:c>
      <x:c r="F328" s="23" t="str">
        <x:v>ERP simulado</x:v>
      </x:c>
      <x:c r="G328" s="23" t="str">
        <x:v>Actual</x:v>
      </x:c>
      <x:c r="H328" s="23" t="str">
        <x:v>EUR</x:v>
      </x:c>
    </x:row>
    <x:row r="329">
      <x:c r="A329" s="23" t="str">
        <x:v>2025-07</x:v>
      </x:c>
      <x:c r="B329" s="23" t="str">
        <x:v>2025-07-31</x:v>
      </x:c>
      <x:c r="C329" s="23" t="str">
        <x:v>1400</x:v>
      </x:c>
      <x:c r="D329" s="23" t="str">
        <x:v>Inmovilizado material neto</x:v>
      </x:c>
      <x:c r="E329" s="24" t="n">
        <x:v>8156967</x:v>
      </x:c>
      <x:c r="F329" s="23" t="str">
        <x:v>ERP simulado</x:v>
      </x:c>
      <x:c r="G329" s="23" t="str">
        <x:v>Actual</x:v>
      </x:c>
      <x:c r="H329" s="23" t="str">
        <x:v>EUR</x:v>
      </x:c>
    </x:row>
    <x:row r="330">
      <x:c r="A330" s="23" t="str">
        <x:v>2025-07</x:v>
      </x:c>
      <x:c r="B330" s="23" t="str">
        <x:v>2025-07-31</x:v>
      </x:c>
      <x:c r="C330" s="23" t="str">
        <x:v>1500</x:v>
      </x:c>
      <x:c r="D330" s="23" t="str">
        <x:v>Activos intangibles netos</x:v>
      </x:c>
      <x:c r="E330" s="24" t="n">
        <x:v>1187150</x:v>
      </x:c>
      <x:c r="F330" s="23" t="str">
        <x:v>ERP simulado</x:v>
      </x:c>
      <x:c r="G330" s="23" t="str">
        <x:v>Actual</x:v>
      </x:c>
      <x:c r="H330" s="23" t="str">
        <x:v>EUR</x:v>
      </x:c>
    </x:row>
    <x:row r="331">
      <x:c r="A331" s="23" t="str">
        <x:v>2025-07</x:v>
      </x:c>
      <x:c r="B331" s="23" t="str">
        <x:v>2025-07-31</x:v>
      </x:c>
      <x:c r="C331" s="23" t="str">
        <x:v>1600</x:v>
      </x:c>
      <x:c r="D331" s="23" t="str">
        <x:v>Otros activos no corrientes</x:v>
      </x:c>
      <x:c r="E331" s="24" t="n">
        <x:v>800000</x:v>
      </x:c>
      <x:c r="F331" s="23" t="str">
        <x:v>ERP simulado</x:v>
      </x:c>
      <x:c r="G331" s="23" t="str">
        <x:v>Actual</x:v>
      </x:c>
      <x:c r="H331" s="23" t="str">
        <x:v>EUR</x:v>
      </x:c>
    </x:row>
    <x:row r="332">
      <x:c r="A332" s="23" t="str">
        <x:v>2025-07</x:v>
      </x:c>
      <x:c r="B332" s="23" t="str">
        <x:v>2025-07-31</x:v>
      </x:c>
      <x:c r="C332" s="23" t="str">
        <x:v>2000</x:v>
      </x:c>
      <x:c r="D332" s="23" t="str">
        <x:v>Proveedores</x:v>
      </x:c>
      <x:c r="E332" s="24" t="n">
        <x:v>2760382</x:v>
      </x:c>
      <x:c r="F332" s="23" t="str">
        <x:v>ERP simulado</x:v>
      </x:c>
      <x:c r="G332" s="23" t="str">
        <x:v>Actual</x:v>
      </x:c>
      <x:c r="H332" s="23" t="str">
        <x:v>EUR</x:v>
      </x:c>
    </x:row>
    <x:row r="333">
      <x:c r="A333" s="23" t="str">
        <x:v>2025-07</x:v>
      </x:c>
      <x:c r="B333" s="23" t="str">
        <x:v>2025-07-31</x:v>
      </x:c>
      <x:c r="C333" s="23" t="str">
        <x:v>2100</x:v>
      </x:c>
      <x:c r="D333" s="23" t="str">
        <x:v>Acreedores y gastos devengados</x:v>
      </x:c>
      <x:c r="E333" s="24" t="n">
        <x:v>935041</x:v>
      </x:c>
      <x:c r="F333" s="23" t="str">
        <x:v>ERP simulado</x:v>
      </x:c>
      <x:c r="G333" s="23" t="str">
        <x:v>Actual</x:v>
      </x:c>
      <x:c r="H333" s="23" t="str">
        <x:v>EUR</x:v>
      </x:c>
    </x:row>
    <x:row r="334">
      <x:c r="A334" s="23" t="str">
        <x:v>2025-07</x:v>
      </x:c>
      <x:c r="B334" s="23" t="str">
        <x:v>2025-07-31</x:v>
      </x:c>
      <x:c r="C334" s="23" t="str">
        <x:v>2200</x:v>
      </x:c>
      <x:c r="D334" s="23" t="str">
        <x:v>Impuestos a pagar</x:v>
      </x:c>
      <x:c r="E334" s="24" t="n">
        <x:v>91518</x:v>
      </x:c>
      <x:c r="F334" s="23" t="str">
        <x:v>ERP simulado</x:v>
      </x:c>
      <x:c r="G334" s="23" t="str">
        <x:v>Actual</x:v>
      </x:c>
      <x:c r="H334" s="23" t="str">
        <x:v>EUR</x:v>
      </x:c>
    </x:row>
    <x:row r="335">
      <x:c r="A335" s="23" t="str">
        <x:v>2025-07</x:v>
      </x:c>
      <x:c r="B335" s="23" t="str">
        <x:v>2025-07-31</x:v>
      </x:c>
      <x:c r="C335" s="23" t="str">
        <x:v>2300</x:v>
      </x:c>
      <x:c r="D335" s="23" t="str">
        <x:v>Deuda financiera corriente</x:v>
      </x:c>
      <x:c r="E335" s="24" t="n">
        <x:v>1270000</x:v>
      </x:c>
      <x:c r="F335" s="23" t="str">
        <x:v>ERP simulado</x:v>
      </x:c>
      <x:c r="G335" s="23" t="str">
        <x:v>Actual</x:v>
      </x:c>
      <x:c r="H335" s="23" t="str">
        <x:v>EUR</x:v>
      </x:c>
    </x:row>
    <x:row r="336">
      <x:c r="A336" s="23" t="str">
        <x:v>2025-07</x:v>
      </x:c>
      <x:c r="B336" s="23" t="str">
        <x:v>2025-07-31</x:v>
      </x:c>
      <x:c r="C336" s="23" t="str">
        <x:v>2400</x:v>
      </x:c>
      <x:c r="D336" s="23" t="str">
        <x:v>Pasivos por arrendamiento corrientes</x:v>
      </x:c>
      <x:c r="E336" s="24" t="n">
        <x:v>157500</x:v>
      </x:c>
      <x:c r="F336" s="23" t="str">
        <x:v>ERP simulado</x:v>
      </x:c>
      <x:c r="G336" s="23" t="str">
        <x:v>Actual</x:v>
      </x:c>
      <x:c r="H336" s="23" t="str">
        <x:v>EUR</x:v>
      </x:c>
    </x:row>
    <x:row r="337">
      <x:c r="A337" s="23" t="str">
        <x:v>2025-07</x:v>
      </x:c>
      <x:c r="B337" s="23" t="str">
        <x:v>2025-07-31</x:v>
      </x:c>
      <x:c r="C337" s="23" t="str">
        <x:v>2500</x:v>
      </x:c>
      <x:c r="D337" s="23" t="str">
        <x:v>Deuda financiera no corriente</x:v>
      </x:c>
      <x:c r="E337" s="24" t="n">
        <x:v>5080000</x:v>
      </x:c>
      <x:c r="F337" s="23" t="str">
        <x:v>ERP simulado</x:v>
      </x:c>
      <x:c r="G337" s="23" t="str">
        <x:v>Actual</x:v>
      </x:c>
      <x:c r="H337" s="23" t="str">
        <x:v>EUR</x:v>
      </x:c>
    </x:row>
    <x:row r="338">
      <x:c r="A338" s="23" t="str">
        <x:v>2025-07</x:v>
      </x:c>
      <x:c r="B338" s="23" t="str">
        <x:v>2025-07-31</x:v>
      </x:c>
      <x:c r="C338" s="23" t="str">
        <x:v>2600</x:v>
      </x:c>
      <x:c r="D338" s="23" t="str">
        <x:v>Pasivos por arrendamiento no corrientes</x:v>
      </x:c>
      <x:c r="E338" s="24" t="n">
        <x:v>367500</x:v>
      </x:c>
      <x:c r="F338" s="23" t="str">
        <x:v>ERP simulado</x:v>
      </x:c>
      <x:c r="G338" s="23" t="str">
        <x:v>Actual</x:v>
      </x:c>
      <x:c r="H338" s="23" t="str">
        <x:v>EUR</x:v>
      </x:c>
    </x:row>
    <x:row r="339">
      <x:c r="A339" s="23" t="str">
        <x:v>2025-07</x:v>
      </x:c>
      <x:c r="B339" s="23" t="str">
        <x:v>2025-07-31</x:v>
      </x:c>
      <x:c r="C339" s="23" t="str">
        <x:v>2700</x:v>
      </x:c>
      <x:c r="D339" s="23" t="str">
        <x:v>Otros pasivos</x:v>
      </x:c>
      <x:c r="E339" s="24" t="n">
        <x:v>800000</x:v>
      </x:c>
      <x:c r="F339" s="23" t="str">
        <x:v>ERP simulado</x:v>
      </x:c>
      <x:c r="G339" s="23" t="str">
        <x:v>Actual</x:v>
      </x:c>
      <x:c r="H339" s="23" t="str">
        <x:v>EUR</x:v>
      </x:c>
    </x:row>
    <x:row r="340">
      <x:c r="A340" s="23" t="str">
        <x:v>2025-07</x:v>
      </x:c>
      <x:c r="B340" s="23" t="str">
        <x:v>2025-07-31</x:v>
      </x:c>
      <x:c r="C340" s="23" t="str">
        <x:v>3000</x:v>
      </x:c>
      <x:c r="D340" s="23" t="str">
        <x:v>Capital social</x:v>
      </x:c>
      <x:c r="E340" s="24" t="n">
        <x:v>5000000</x:v>
      </x:c>
      <x:c r="F340" s="23" t="str">
        <x:v>ERP simulado</x:v>
      </x:c>
      <x:c r="G340" s="23" t="str">
        <x:v>Actual</x:v>
      </x:c>
      <x:c r="H340" s="23" t="str">
        <x:v>EUR</x:v>
      </x:c>
    </x:row>
    <x:row r="341">
      <x:c r="A341" s="23" t="str">
        <x:v>2025-07</x:v>
      </x:c>
      <x:c r="B341" s="23" t="str">
        <x:v>2025-07-31</x:v>
      </x:c>
      <x:c r="C341" s="23" t="str">
        <x:v>3100</x:v>
      </x:c>
      <x:c r="D341" s="23" t="str">
        <x:v>Resultados acumulados</x:v>
      </x:c>
      <x:c r="E341" s="24" t="n">
        <x:v>8670133</x:v>
      </x:c>
      <x:c r="F341" s="23" t="str">
        <x:v>ERP simulado</x:v>
      </x:c>
      <x:c r="G341" s="23" t="str">
        <x:v>Actual</x:v>
      </x:c>
      <x:c r="H341" s="23" t="str">
        <x:v>EUR</x:v>
      </x:c>
    </x:row>
    <x:row r="342">
      <x:c r="A342" s="23" t="str">
        <x:v>2025-08</x:v>
      </x:c>
      <x:c r="B342" s="23" t="str">
        <x:v>2025-08-31</x:v>
      </x:c>
      <x:c r="C342" s="23" t="str">
        <x:v>1000</x:v>
      </x:c>
      <x:c r="D342" s="23" t="str">
        <x:v>Efectivo y equivalentes</x:v>
      </x:c>
      <x:c r="E342" s="24" t="n">
        <x:v>4348654</x:v>
      </x:c>
      <x:c r="F342" s="23" t="str">
        <x:v>ERP simulado</x:v>
      </x:c>
      <x:c r="G342" s="23" t="str">
        <x:v>Actual</x:v>
      </x:c>
      <x:c r="H342" s="23" t="str">
        <x:v>EUR</x:v>
      </x:c>
    </x:row>
    <x:row r="343">
      <x:c r="A343" s="23" t="str">
        <x:v>2025-08</x:v>
      </x:c>
      <x:c r="B343" s="23" t="str">
        <x:v>2025-08-31</x:v>
      </x:c>
      <x:c r="C343" s="23" t="str">
        <x:v>1100</x:v>
      </x:c>
      <x:c r="D343" s="23" t="str">
        <x:v>Clientes</x:v>
      </x:c>
      <x:c r="E343" s="24" t="n">
        <x:v>6423819</x:v>
      </x:c>
      <x:c r="F343" s="23" t="str">
        <x:v>ERP simulado</x:v>
      </x:c>
      <x:c r="G343" s="23" t="str">
        <x:v>Actual</x:v>
      </x:c>
      <x:c r="H343" s="23" t="str">
        <x:v>EUR</x:v>
      </x:c>
    </x:row>
    <x:row r="344">
      <x:c r="A344" s="23" t="str">
        <x:v>2025-08</x:v>
      </x:c>
      <x:c r="B344" s="23" t="str">
        <x:v>2025-08-31</x:v>
      </x:c>
      <x:c r="C344" s="23" t="str">
        <x:v>1200</x:v>
      </x:c>
      <x:c r="D344" s="23" t="str">
        <x:v>Existencias</x:v>
      </x:c>
      <x:c r="E344" s="24" t="n">
        <x:v>3556947</x:v>
      </x:c>
      <x:c r="F344" s="23" t="str">
        <x:v>ERP simulado</x:v>
      </x:c>
      <x:c r="G344" s="23" t="str">
        <x:v>Actual</x:v>
      </x:c>
      <x:c r="H344" s="23" t="str">
        <x:v>EUR</x:v>
      </x:c>
    </x:row>
    <x:row r="345">
      <x:c r="A345" s="23" t="str">
        <x:v>2025-08</x:v>
      </x:c>
      <x:c r="B345" s="23" t="str">
        <x:v>2025-08-31</x:v>
      </x:c>
      <x:c r="C345" s="23" t="str">
        <x:v>1300</x:v>
      </x:c>
      <x:c r="D345" s="23" t="str">
        <x:v>Pagos anticipados y otros activos corrientes</x:v>
      </x:c>
      <x:c r="E345" s="24" t="n">
        <x:v>624152</x:v>
      </x:c>
      <x:c r="F345" s="23" t="str">
        <x:v>ERP simulado</x:v>
      </x:c>
      <x:c r="G345" s="23" t="str">
        <x:v>Actual</x:v>
      </x:c>
      <x:c r="H345" s="23" t="str">
        <x:v>EUR</x:v>
      </x:c>
    </x:row>
    <x:row r="346">
      <x:c r="A346" s="23" t="str">
        <x:v>2025-08</x:v>
      </x:c>
      <x:c r="B346" s="23" t="str">
        <x:v>2025-08-31</x:v>
      </x:c>
      <x:c r="C346" s="23" t="str">
        <x:v>1400</x:v>
      </x:c>
      <x:c r="D346" s="23" t="str">
        <x:v>Inmovilizado material neto</x:v>
      </x:c>
      <x:c r="E346" s="24" t="n">
        <x:v>8145720</x:v>
      </x:c>
      <x:c r="F346" s="23" t="str">
        <x:v>ERP simulado</x:v>
      </x:c>
      <x:c r="G346" s="23" t="str">
        <x:v>Actual</x:v>
      </x:c>
      <x:c r="H346" s="23" t="str">
        <x:v>EUR</x:v>
      </x:c>
    </x:row>
    <x:row r="347">
      <x:c r="A347" s="23" t="str">
        <x:v>2025-08</x:v>
      </x:c>
      <x:c r="B347" s="23" t="str">
        <x:v>2025-08-31</x:v>
      </x:c>
      <x:c r="C347" s="23" t="str">
        <x:v>1500</x:v>
      </x:c>
      <x:c r="D347" s="23" t="str">
        <x:v>Activos intangibles netos</x:v>
      </x:c>
      <x:c r="E347" s="24" t="n">
        <x:v>1173500</x:v>
      </x:c>
      <x:c r="F347" s="23" t="str">
        <x:v>ERP simulado</x:v>
      </x:c>
      <x:c r="G347" s="23" t="str">
        <x:v>Actual</x:v>
      </x:c>
      <x:c r="H347" s="23" t="str">
        <x:v>EUR</x:v>
      </x:c>
    </x:row>
    <x:row r="348">
      <x:c r="A348" s="23" t="str">
        <x:v>2025-08</x:v>
      </x:c>
      <x:c r="B348" s="23" t="str">
        <x:v>2025-08-31</x:v>
      </x:c>
      <x:c r="C348" s="23" t="str">
        <x:v>1600</x:v>
      </x:c>
      <x:c r="D348" s="23" t="str">
        <x:v>Otros activos no corrientes</x:v>
      </x:c>
      <x:c r="E348" s="24" t="n">
        <x:v>800000</x:v>
      </x:c>
      <x:c r="F348" s="23" t="str">
        <x:v>ERP simulado</x:v>
      </x:c>
      <x:c r="G348" s="23" t="str">
        <x:v>Actual</x:v>
      </x:c>
      <x:c r="H348" s="23" t="str">
        <x:v>EUR</x:v>
      </x:c>
    </x:row>
    <x:row r="349">
      <x:c r="A349" s="23" t="str">
        <x:v>2025-08</x:v>
      </x:c>
      <x:c r="B349" s="23" t="str">
        <x:v>2025-08-31</x:v>
      </x:c>
      <x:c r="C349" s="23" t="str">
        <x:v>2000</x:v>
      </x:c>
      <x:c r="D349" s="23" t="str">
        <x:v>Proveedores</x:v>
      </x:c>
      <x:c r="E349" s="24" t="n">
        <x:v>2536665</x:v>
      </x:c>
      <x:c r="F349" s="23" t="str">
        <x:v>ERP simulado</x:v>
      </x:c>
      <x:c r="G349" s="23" t="str">
        <x:v>Actual</x:v>
      </x:c>
      <x:c r="H349" s="23" t="str">
        <x:v>EUR</x:v>
      </x:c>
    </x:row>
    <x:row r="350">
      <x:c r="A350" s="23" t="str">
        <x:v>2025-08</x:v>
      </x:c>
      <x:c r="B350" s="23" t="str">
        <x:v>2025-08-31</x:v>
      </x:c>
      <x:c r="C350" s="23" t="str">
        <x:v>2100</x:v>
      </x:c>
      <x:c r="D350" s="23" t="str">
        <x:v>Acreedores y gastos devengados</x:v>
      </x:c>
      <x:c r="E350" s="24" t="n">
        <x:v>891646</x:v>
      </x:c>
      <x:c r="F350" s="23" t="str">
        <x:v>ERP simulado</x:v>
      </x:c>
      <x:c r="G350" s="23" t="str">
        <x:v>Actual</x:v>
      </x:c>
      <x:c r="H350" s="23" t="str">
        <x:v>EUR</x:v>
      </x:c>
    </x:row>
    <x:row r="351">
      <x:c r="A351" s="23" t="str">
        <x:v>2025-08</x:v>
      </x:c>
      <x:c r="B351" s="23" t="str">
        <x:v>2025-08-31</x:v>
      </x:c>
      <x:c r="C351" s="23" t="str">
        <x:v>2200</x:v>
      </x:c>
      <x:c r="D351" s="23" t="str">
        <x:v>Impuestos a pagar</x:v>
      </x:c>
      <x:c r="E351" s="24" t="n">
        <x:v>100660</x:v>
      </x:c>
      <x:c r="F351" s="23" t="str">
        <x:v>ERP simulado</x:v>
      </x:c>
      <x:c r="G351" s="23" t="str">
        <x:v>Actual</x:v>
      </x:c>
      <x:c r="H351" s="23" t="str">
        <x:v>EUR</x:v>
      </x:c>
    </x:row>
    <x:row r="352">
      <x:c r="A352" s="23" t="str">
        <x:v>2025-08</x:v>
      </x:c>
      <x:c r="B352" s="23" t="str">
        <x:v>2025-08-31</x:v>
      </x:c>
      <x:c r="C352" s="23" t="str">
        <x:v>2300</x:v>
      </x:c>
      <x:c r="D352" s="23" t="str">
        <x:v>Deuda financiera corriente</x:v>
      </x:c>
      <x:c r="E352" s="24" t="n">
        <x:v>1270000</x:v>
      </x:c>
      <x:c r="F352" s="23" t="str">
        <x:v>ERP simulado</x:v>
      </x:c>
      <x:c r="G352" s="23" t="str">
        <x:v>Actual</x:v>
      </x:c>
      <x:c r="H352" s="23" t="str">
        <x:v>EUR</x:v>
      </x:c>
    </x:row>
    <x:row r="353">
      <x:c r="A353" s="23" t="str">
        <x:v>2025-08</x:v>
      </x:c>
      <x:c r="B353" s="23" t="str">
        <x:v>2025-08-31</x:v>
      </x:c>
      <x:c r="C353" s="23" t="str">
        <x:v>2400</x:v>
      </x:c>
      <x:c r="D353" s="23" t="str">
        <x:v>Pasivos por arrendamiento corrientes</x:v>
      </x:c>
      <x:c r="E353" s="24" t="n">
        <x:v>150000</x:v>
      </x:c>
      <x:c r="F353" s="23" t="str">
        <x:v>ERP simulado</x:v>
      </x:c>
      <x:c r="G353" s="23" t="str">
        <x:v>Actual</x:v>
      </x:c>
      <x:c r="H353" s="23" t="str">
        <x:v>EUR</x:v>
      </x:c>
    </x:row>
    <x:row r="354">
      <x:c r="A354" s="23" t="str">
        <x:v>2025-08</x:v>
      </x:c>
      <x:c r="B354" s="23" t="str">
        <x:v>2025-08-31</x:v>
      </x:c>
      <x:c r="C354" s="23" t="str">
        <x:v>2500</x:v>
      </x:c>
      <x:c r="D354" s="23" t="str">
        <x:v>Deuda financiera no corriente</x:v>
      </x:c>
      <x:c r="E354" s="24" t="n">
        <x:v>5080000</x:v>
      </x:c>
      <x:c r="F354" s="23" t="str">
        <x:v>ERP simulado</x:v>
      </x:c>
      <x:c r="G354" s="23" t="str">
        <x:v>Actual</x:v>
      </x:c>
      <x:c r="H354" s="23" t="str">
        <x:v>EUR</x:v>
      </x:c>
    </x:row>
    <x:row r="355">
      <x:c r="A355" s="23" t="str">
        <x:v>2025-08</x:v>
      </x:c>
      <x:c r="B355" s="23" t="str">
        <x:v>2025-08-31</x:v>
      </x:c>
      <x:c r="C355" s="23" t="str">
        <x:v>2600</x:v>
      </x:c>
      <x:c r="D355" s="23" t="str">
        <x:v>Pasivos por arrendamiento no corrientes</x:v>
      </x:c>
      <x:c r="E355" s="24" t="n">
        <x:v>350000</x:v>
      </x:c>
      <x:c r="F355" s="23" t="str">
        <x:v>ERP simulado</x:v>
      </x:c>
      <x:c r="G355" s="23" t="str">
        <x:v>Actual</x:v>
      </x:c>
      <x:c r="H355" s="23" t="str">
        <x:v>EUR</x:v>
      </x:c>
    </x:row>
    <x:row r="356">
      <x:c r="A356" s="23" t="str">
        <x:v>2025-08</x:v>
      </x:c>
      <x:c r="B356" s="23" t="str">
        <x:v>2025-08-31</x:v>
      </x:c>
      <x:c r="C356" s="23" t="str">
        <x:v>2700</x:v>
      </x:c>
      <x:c r="D356" s="23" t="str">
        <x:v>Otros pasivos</x:v>
      </x:c>
      <x:c r="E356" s="24" t="n">
        <x:v>800000</x:v>
      </x:c>
      <x:c r="F356" s="23" t="str">
        <x:v>ERP simulado</x:v>
      </x:c>
      <x:c r="G356" s="23" t="str">
        <x:v>Actual</x:v>
      </x:c>
      <x:c r="H356" s="23" t="str">
        <x:v>EUR</x:v>
      </x:c>
    </x:row>
    <x:row r="357">
      <x:c r="A357" s="23" t="str">
        <x:v>2025-08</x:v>
      </x:c>
      <x:c r="B357" s="23" t="str">
        <x:v>2025-08-31</x:v>
      </x:c>
      <x:c r="C357" s="23" t="str">
        <x:v>3000</x:v>
      </x:c>
      <x:c r="D357" s="23" t="str">
        <x:v>Capital social</x:v>
      </x:c>
      <x:c r="E357" s="24" t="n">
        <x:v>5000000</x:v>
      </x:c>
      <x:c r="F357" s="23" t="str">
        <x:v>ERP simulado</x:v>
      </x:c>
      <x:c r="G357" s="23" t="str">
        <x:v>Actual</x:v>
      </x:c>
      <x:c r="H357" s="23" t="str">
        <x:v>EUR</x:v>
      </x:c>
    </x:row>
    <x:row r="358">
      <x:c r="A358" s="23" t="str">
        <x:v>2025-08</x:v>
      </x:c>
      <x:c r="B358" s="23" t="str">
        <x:v>2025-08-31</x:v>
      </x:c>
      <x:c r="C358" s="23" t="str">
        <x:v>3100</x:v>
      </x:c>
      <x:c r="D358" s="23" t="str">
        <x:v>Resultados acumulados</x:v>
      </x:c>
      <x:c r="E358" s="24" t="n">
        <x:v>8893821</x:v>
      </x:c>
      <x:c r="F358" s="23" t="str">
        <x:v>ERP simulado</x:v>
      </x:c>
      <x:c r="G358" s="23" t="str">
        <x:v>Actual</x:v>
      </x:c>
      <x:c r="H358" s="23" t="str">
        <x:v>EUR</x:v>
      </x:c>
    </x:row>
    <x:row r="359">
      <x:c r="A359" s="23" t="str">
        <x:v>2025-09</x:v>
      </x:c>
      <x:c r="B359" s="23" t="str">
        <x:v>2025-09-30</x:v>
      </x:c>
      <x:c r="C359" s="23" t="str">
        <x:v>1000</x:v>
      </x:c>
      <x:c r="D359" s="23" t="str">
        <x:v>Efectivo y equivalentes</x:v>
      </x:c>
      <x:c r="E359" s="24" t="n">
        <x:v>6063011</x:v>
      </x:c>
      <x:c r="F359" s="23" t="str">
        <x:v>ERP simulado</x:v>
      </x:c>
      <x:c r="G359" s="23" t="str">
        <x:v>Actual</x:v>
      </x:c>
      <x:c r="H359" s="23" t="str">
        <x:v>EUR</x:v>
      </x:c>
    </x:row>
    <x:row r="360">
      <x:c r="A360" s="23" t="str">
        <x:v>2025-09</x:v>
      </x:c>
      <x:c r="B360" s="23" t="str">
        <x:v>2025-09-30</x:v>
      </x:c>
      <x:c r="C360" s="23" t="str">
        <x:v>1100</x:v>
      </x:c>
      <x:c r="D360" s="23" t="str">
        <x:v>Clientes</x:v>
      </x:c>
      <x:c r="E360" s="24" t="n">
        <x:v>6034379</x:v>
      </x:c>
      <x:c r="F360" s="23" t="str">
        <x:v>ERP simulado</x:v>
      </x:c>
      <x:c r="G360" s="23" t="str">
        <x:v>Actual</x:v>
      </x:c>
      <x:c r="H360" s="23" t="str">
        <x:v>EUR</x:v>
      </x:c>
    </x:row>
    <x:row r="361">
      <x:c r="A361" s="23" t="str">
        <x:v>2025-09</x:v>
      </x:c>
      <x:c r="B361" s="23" t="str">
        <x:v>2025-09-30</x:v>
      </x:c>
      <x:c r="C361" s="23" t="str">
        <x:v>1200</x:v>
      </x:c>
      <x:c r="D361" s="23" t="str">
        <x:v>Existencias</x:v>
      </x:c>
      <x:c r="E361" s="24" t="n">
        <x:v>3424442</x:v>
      </x:c>
      <x:c r="F361" s="23" t="str">
        <x:v>ERP simulado</x:v>
      </x:c>
      <x:c r="G361" s="23" t="str">
        <x:v>Actual</x:v>
      </x:c>
      <x:c r="H361" s="23" t="str">
        <x:v>EUR</x:v>
      </x:c>
    </x:row>
    <x:row r="362">
      <x:c r="A362" s="23" t="str">
        <x:v>2025-09</x:v>
      </x:c>
      <x:c r="B362" s="23" t="str">
        <x:v>2025-09-30</x:v>
      </x:c>
      <x:c r="C362" s="23" t="str">
        <x:v>1300</x:v>
      </x:c>
      <x:c r="D362" s="23" t="str">
        <x:v>Pagos anticipados y otros activos corrientes</x:v>
      </x:c>
      <x:c r="E362" s="24" t="n">
        <x:v>716184</x:v>
      </x:c>
      <x:c r="F362" s="23" t="str">
        <x:v>ERP simulado</x:v>
      </x:c>
      <x:c r="G362" s="23" t="str">
        <x:v>Actual</x:v>
      </x:c>
      <x:c r="H362" s="23" t="str">
        <x:v>EUR</x:v>
      </x:c>
    </x:row>
    <x:row r="363">
      <x:c r="A363" s="23" t="str">
        <x:v>2025-09</x:v>
      </x:c>
      <x:c r="B363" s="23" t="str">
        <x:v>2025-09-30</x:v>
      </x:c>
      <x:c r="C363" s="23" t="str">
        <x:v>1400</x:v>
      </x:c>
      <x:c r="D363" s="23" t="str">
        <x:v>Inmovilizado material neto</x:v>
      </x:c>
      <x:c r="E363" s="24" t="n">
        <x:v>8020074</x:v>
      </x:c>
      <x:c r="F363" s="23" t="str">
        <x:v>ERP simulado</x:v>
      </x:c>
      <x:c r="G363" s="23" t="str">
        <x:v>Actual</x:v>
      </x:c>
      <x:c r="H363" s="23" t="str">
        <x:v>EUR</x:v>
      </x:c>
    </x:row>
    <x:row r="364">
      <x:c r="A364" s="23" t="str">
        <x:v>2025-09</x:v>
      </x:c>
      <x:c r="B364" s="23" t="str">
        <x:v>2025-09-30</x:v>
      </x:c>
      <x:c r="C364" s="23" t="str">
        <x:v>1500</x:v>
      </x:c>
      <x:c r="D364" s="23" t="str">
        <x:v>Activos intangibles netos</x:v>
      </x:c>
      <x:c r="E364" s="24" t="n">
        <x:v>1189500</x:v>
      </x:c>
      <x:c r="F364" s="23" t="str">
        <x:v>ERP simulado</x:v>
      </x:c>
      <x:c r="G364" s="23" t="str">
        <x:v>Actual</x:v>
      </x:c>
      <x:c r="H364" s="23" t="str">
        <x:v>EUR</x:v>
      </x:c>
    </x:row>
    <x:row r="365">
      <x:c r="A365" s="23" t="str">
        <x:v>2025-09</x:v>
      </x:c>
      <x:c r="B365" s="23" t="str">
        <x:v>2025-09-30</x:v>
      </x:c>
      <x:c r="C365" s="23" t="str">
        <x:v>1600</x:v>
      </x:c>
      <x:c r="D365" s="23" t="str">
        <x:v>Otros activos no corrientes</x:v>
      </x:c>
      <x:c r="E365" s="24" t="n">
        <x:v>800000</x:v>
      </x:c>
      <x:c r="F365" s="23" t="str">
        <x:v>ERP simulado</x:v>
      </x:c>
      <x:c r="G365" s="23" t="str">
        <x:v>Actual</x:v>
      </x:c>
      <x:c r="H365" s="23" t="str">
        <x:v>EUR</x:v>
      </x:c>
    </x:row>
    <x:row r="366">
      <x:c r="A366" s="23" t="str">
        <x:v>2025-09</x:v>
      </x:c>
      <x:c r="B366" s="23" t="str">
        <x:v>2025-09-30</x:v>
      </x:c>
      <x:c r="C366" s="23" t="str">
        <x:v>2000</x:v>
      </x:c>
      <x:c r="D366" s="23" t="str">
        <x:v>Proveedores</x:v>
      </x:c>
      <x:c r="E366" s="24" t="n">
        <x:v>3395685</x:v>
      </x:c>
      <x:c r="F366" s="23" t="str">
        <x:v>ERP simulado</x:v>
      </x:c>
      <x:c r="G366" s="23" t="str">
        <x:v>Actual</x:v>
      </x:c>
      <x:c r="H366" s="23" t="str">
        <x:v>EUR</x:v>
      </x:c>
    </x:row>
    <x:row r="367">
      <x:c r="A367" s="23" t="str">
        <x:v>2025-09</x:v>
      </x:c>
      <x:c r="B367" s="23" t="str">
        <x:v>2025-09-30</x:v>
      </x:c>
      <x:c r="C367" s="23" t="str">
        <x:v>2100</x:v>
      </x:c>
      <x:c r="D367" s="23" t="str">
        <x:v>Acreedores y gastos devengados</x:v>
      </x:c>
      <x:c r="E367" s="24" t="n">
        <x:v>1023120</x:v>
      </x:c>
      <x:c r="F367" s="23" t="str">
        <x:v>ERP simulado</x:v>
      </x:c>
      <x:c r="G367" s="23" t="str">
        <x:v>Actual</x:v>
      </x:c>
      <x:c r="H367" s="23" t="str">
        <x:v>EUR</x:v>
      </x:c>
    </x:row>
    <x:row r="368">
      <x:c r="A368" s="23" t="str">
        <x:v>2025-09</x:v>
      </x:c>
      <x:c r="B368" s="23" t="str">
        <x:v>2025-09-30</x:v>
      </x:c>
      <x:c r="C368" s="23" t="str">
        <x:v>2200</x:v>
      </x:c>
      <x:c r="D368" s="23" t="str">
        <x:v>Impuestos a pagar</x:v>
      </x:c>
      <x:c r="E368" s="24" t="n">
        <x:v>134989</x:v>
      </x:c>
      <x:c r="F368" s="23" t="str">
        <x:v>ERP simulado</x:v>
      </x:c>
      <x:c r="G368" s="23" t="str">
        <x:v>Actual</x:v>
      </x:c>
      <x:c r="H368" s="23" t="str">
        <x:v>EUR</x:v>
      </x:c>
    </x:row>
    <x:row r="369">
      <x:c r="A369" s="23" t="str">
        <x:v>2025-09</x:v>
      </x:c>
      <x:c r="B369" s="23" t="str">
        <x:v>2025-09-30</x:v>
      </x:c>
      <x:c r="C369" s="23" t="str">
        <x:v>2300</x:v>
      </x:c>
      <x:c r="D369" s="23" t="str">
        <x:v>Deuda financiera corriente</x:v>
      </x:c>
      <x:c r="E369" s="24" t="n">
        <x:v>1245000</x:v>
      </x:c>
      <x:c r="F369" s="23" t="str">
        <x:v>ERP simulado</x:v>
      </x:c>
      <x:c r="G369" s="23" t="str">
        <x:v>Actual</x:v>
      </x:c>
      <x:c r="H369" s="23" t="str">
        <x:v>EUR</x:v>
      </x:c>
    </x:row>
    <x:row r="370">
      <x:c r="A370" s="23" t="str">
        <x:v>2025-09</x:v>
      </x:c>
      <x:c r="B370" s="23" t="str">
        <x:v>2025-09-30</x:v>
      </x:c>
      <x:c r="C370" s="23" t="str">
        <x:v>2400</x:v>
      </x:c>
      <x:c r="D370" s="23" t="str">
        <x:v>Pasivos por arrendamiento corrientes</x:v>
      </x:c>
      <x:c r="E370" s="24" t="n">
        <x:v>142500</x:v>
      </x:c>
      <x:c r="F370" s="23" t="str">
        <x:v>ERP simulado</x:v>
      </x:c>
      <x:c r="G370" s="23" t="str">
        <x:v>Actual</x:v>
      </x:c>
      <x:c r="H370" s="23" t="str">
        <x:v>EUR</x:v>
      </x:c>
    </x:row>
    <x:row r="371">
      <x:c r="A371" s="23" t="str">
        <x:v>2025-09</x:v>
      </x:c>
      <x:c r="B371" s="23" t="str">
        <x:v>2025-09-30</x:v>
      </x:c>
      <x:c r="C371" s="23" t="str">
        <x:v>2500</x:v>
      </x:c>
      <x:c r="D371" s="23" t="str">
        <x:v>Deuda financiera no corriente</x:v>
      </x:c>
      <x:c r="E371" s="24" t="n">
        <x:v>4980000</x:v>
      </x:c>
      <x:c r="F371" s="23" t="str">
        <x:v>ERP simulado</x:v>
      </x:c>
      <x:c r="G371" s="23" t="str">
        <x:v>Actual</x:v>
      </x:c>
      <x:c r="H371" s="23" t="str">
        <x:v>EUR</x:v>
      </x:c>
    </x:row>
    <x:row r="372">
      <x:c r="A372" s="23" t="str">
        <x:v>2025-09</x:v>
      </x:c>
      <x:c r="B372" s="23" t="str">
        <x:v>2025-09-30</x:v>
      </x:c>
      <x:c r="C372" s="23" t="str">
        <x:v>2600</x:v>
      </x:c>
      <x:c r="D372" s="23" t="str">
        <x:v>Pasivos por arrendamiento no corrientes</x:v>
      </x:c>
      <x:c r="E372" s="24" t="n">
        <x:v>332500</x:v>
      </x:c>
      <x:c r="F372" s="23" t="str">
        <x:v>ERP simulado</x:v>
      </x:c>
      <x:c r="G372" s="23" t="str">
        <x:v>Actual</x:v>
      </x:c>
      <x:c r="H372" s="23" t="str">
        <x:v>EUR</x:v>
      </x:c>
    </x:row>
    <x:row r="373">
      <x:c r="A373" s="23" t="str">
        <x:v>2025-09</x:v>
      </x:c>
      <x:c r="B373" s="23" t="str">
        <x:v>2025-09-30</x:v>
      </x:c>
      <x:c r="C373" s="23" t="str">
        <x:v>2700</x:v>
      </x:c>
      <x:c r="D373" s="23" t="str">
        <x:v>Otros pasivos</x:v>
      </x:c>
      <x:c r="E373" s="24" t="n">
        <x:v>800000</x:v>
      </x:c>
      <x:c r="F373" s="23" t="str">
        <x:v>ERP simulado</x:v>
      </x:c>
      <x:c r="G373" s="23" t="str">
        <x:v>Actual</x:v>
      </x:c>
      <x:c r="H373" s="23" t="str">
        <x:v>EUR</x:v>
      </x:c>
    </x:row>
    <x:row r="374">
      <x:c r="A374" s="23" t="str">
        <x:v>2025-09</x:v>
      </x:c>
      <x:c r="B374" s="23" t="str">
        <x:v>2025-09-30</x:v>
      </x:c>
      <x:c r="C374" s="23" t="str">
        <x:v>3000</x:v>
      </x:c>
      <x:c r="D374" s="23" t="str">
        <x:v>Capital social</x:v>
      </x:c>
      <x:c r="E374" s="24" t="n">
        <x:v>5000000</x:v>
      </x:c>
      <x:c r="F374" s="23" t="str">
        <x:v>ERP simulado</x:v>
      </x:c>
      <x:c r="G374" s="23" t="str">
        <x:v>Actual</x:v>
      </x:c>
      <x:c r="H374" s="23" t="str">
        <x:v>EUR</x:v>
      </x:c>
    </x:row>
    <x:row r="375">
      <x:c r="A375" s="23" t="str">
        <x:v>2025-09</x:v>
      </x:c>
      <x:c r="B375" s="23" t="str">
        <x:v>2025-09-30</x:v>
      </x:c>
      <x:c r="C375" s="23" t="str">
        <x:v>3100</x:v>
      </x:c>
      <x:c r="D375" s="23" t="str">
        <x:v>Resultados acumulados</x:v>
      </x:c>
      <x:c r="E375" s="24" t="n">
        <x:v>9193796</x:v>
      </x:c>
      <x:c r="F375" s="23" t="str">
        <x:v>ERP simulado</x:v>
      </x:c>
      <x:c r="G375" s="23" t="str">
        <x:v>Actual</x:v>
      </x:c>
      <x:c r="H375" s="23" t="str">
        <x:v>EUR</x:v>
      </x:c>
    </x:row>
    <x:row r="376">
      <x:c r="A376" s="23" t="str">
        <x:v>2025-10</x:v>
      </x:c>
      <x:c r="B376" s="23" t="str">
        <x:v>2025-10-31</x:v>
      </x:c>
      <x:c r="C376" s="23" t="str">
        <x:v>1000</x:v>
      </x:c>
      <x:c r="D376" s="23" t="str">
        <x:v>Efectivo y equivalentes</x:v>
      </x:c>
      <x:c r="E376" s="24" t="n">
        <x:v>6267643</x:v>
      </x:c>
      <x:c r="F376" s="23" t="str">
        <x:v>ERP simulado</x:v>
      </x:c>
      <x:c r="G376" s="23" t="str">
        <x:v>Actual</x:v>
      </x:c>
      <x:c r="H376" s="23" t="str">
        <x:v>EUR</x:v>
      </x:c>
    </x:row>
    <x:row r="377">
      <x:c r="A377" s="23" t="str">
        <x:v>2025-10</x:v>
      </x:c>
      <x:c r="B377" s="23" t="str">
        <x:v>2025-10-31</x:v>
      </x:c>
      <x:c r="C377" s="23" t="str">
        <x:v>1100</x:v>
      </x:c>
      <x:c r="D377" s="23" t="str">
        <x:v>Clientes</x:v>
      </x:c>
      <x:c r="E377" s="24" t="n">
        <x:v>6061499</x:v>
      </x:c>
      <x:c r="F377" s="23" t="str">
        <x:v>ERP simulado</x:v>
      </x:c>
      <x:c r="G377" s="23" t="str">
        <x:v>Actual</x:v>
      </x:c>
      <x:c r="H377" s="23" t="str">
        <x:v>EUR</x:v>
      </x:c>
    </x:row>
    <x:row r="378">
      <x:c r="A378" s="23" t="str">
        <x:v>2025-10</x:v>
      </x:c>
      <x:c r="B378" s="23" t="str">
        <x:v>2025-10-31</x:v>
      </x:c>
      <x:c r="C378" s="23" t="str">
        <x:v>1200</x:v>
      </x:c>
      <x:c r="D378" s="23" t="str">
        <x:v>Existencias</x:v>
      </x:c>
      <x:c r="E378" s="24" t="n">
        <x:v>3460490</x:v>
      </x:c>
      <x:c r="F378" s="23" t="str">
        <x:v>ERP simulado</x:v>
      </x:c>
      <x:c r="G378" s="23" t="str">
        <x:v>Actual</x:v>
      </x:c>
      <x:c r="H378" s="23" t="str">
        <x:v>EUR</x:v>
      </x:c>
    </x:row>
    <x:row r="379">
      <x:c r="A379" s="23" t="str">
        <x:v>2025-10</x:v>
      </x:c>
      <x:c r="B379" s="23" t="str">
        <x:v>2025-10-31</x:v>
      </x:c>
      <x:c r="C379" s="23" t="str">
        <x:v>1300</x:v>
      </x:c>
      <x:c r="D379" s="23" t="str">
        <x:v>Pagos anticipados y otros activos corrientes</x:v>
      </x:c>
      <x:c r="E379" s="24" t="n">
        <x:v>740593</x:v>
      </x:c>
      <x:c r="F379" s="23" t="str">
        <x:v>ERP simulado</x:v>
      </x:c>
      <x:c r="G379" s="23" t="str">
        <x:v>Actual</x:v>
      </x:c>
      <x:c r="H379" s="23" t="str">
        <x:v>EUR</x:v>
      </x:c>
    </x:row>
    <x:row r="380">
      <x:c r="A380" s="23" t="str">
        <x:v>2025-10</x:v>
      </x:c>
      <x:c r="B380" s="23" t="str">
        <x:v>2025-10-31</x:v>
      </x:c>
      <x:c r="C380" s="23" t="str">
        <x:v>1400</x:v>
      </x:c>
      <x:c r="D380" s="23" t="str">
        <x:v>Inmovilizado material neto</x:v>
      </x:c>
      <x:c r="E380" s="24" t="n">
        <x:v>8018999</x:v>
      </x:c>
      <x:c r="F380" s="23" t="str">
        <x:v>ERP simulado</x:v>
      </x:c>
      <x:c r="G380" s="23" t="str">
        <x:v>Actual</x:v>
      </x:c>
      <x:c r="H380" s="23" t="str">
        <x:v>EUR</x:v>
      </x:c>
    </x:row>
    <x:row r="381">
      <x:c r="A381" s="23" t="str">
        <x:v>2025-10</x:v>
      </x:c>
      <x:c r="B381" s="23" t="str">
        <x:v>2025-10-31</x:v>
      </x:c>
      <x:c r="C381" s="23" t="str">
        <x:v>1500</x:v>
      </x:c>
      <x:c r="D381" s="23" t="str">
        <x:v>Activos intangibles netos</x:v>
      </x:c>
      <x:c r="E381" s="24" t="n">
        <x:v>1175150</x:v>
      </x:c>
      <x:c r="F381" s="23" t="str">
        <x:v>ERP simulado</x:v>
      </x:c>
      <x:c r="G381" s="23" t="str">
        <x:v>Actual</x:v>
      </x:c>
      <x:c r="H381" s="23" t="str">
        <x:v>EUR</x:v>
      </x:c>
    </x:row>
    <x:row r="382">
      <x:c r="A382" s="23" t="str">
        <x:v>2025-10</x:v>
      </x:c>
      <x:c r="B382" s="23" t="str">
        <x:v>2025-10-31</x:v>
      </x:c>
      <x:c r="C382" s="23" t="str">
        <x:v>1600</x:v>
      </x:c>
      <x:c r="D382" s="23" t="str">
        <x:v>Otros activos no corrientes</x:v>
      </x:c>
      <x:c r="E382" s="24" t="n">
        <x:v>800000</x:v>
      </x:c>
      <x:c r="F382" s="23" t="str">
        <x:v>ERP simulado</x:v>
      </x:c>
      <x:c r="G382" s="23" t="str">
        <x:v>Actual</x:v>
      </x:c>
      <x:c r="H382" s="23" t="str">
        <x:v>EUR</x:v>
      </x:c>
    </x:row>
    <x:row r="383">
      <x:c r="A383" s="23" t="str">
        <x:v>2025-10</x:v>
      </x:c>
      <x:c r="B383" s="23" t="str">
        <x:v>2025-10-31</x:v>
      </x:c>
      <x:c r="C383" s="23" t="str">
        <x:v>2000</x:v>
      </x:c>
      <x:c r="D383" s="23" t="str">
        <x:v>Proveedores</x:v>
      </x:c>
      <x:c r="E383" s="24" t="n">
        <x:v>3376200</x:v>
      </x:c>
      <x:c r="F383" s="23" t="str">
        <x:v>ERP simulado</x:v>
      </x:c>
      <x:c r="G383" s="23" t="str">
        <x:v>Actual</x:v>
      </x:c>
      <x:c r="H383" s="23" t="str">
        <x:v>EUR</x:v>
      </x:c>
    </x:row>
    <x:row r="384">
      <x:c r="A384" s="23" t="str">
        <x:v>2025-10</x:v>
      </x:c>
      <x:c r="B384" s="23" t="str">
        <x:v>2025-10-31</x:v>
      </x:c>
      <x:c r="C384" s="23" t="str">
        <x:v>2100</x:v>
      </x:c>
      <x:c r="D384" s="23" t="str">
        <x:v>Acreedores y gastos devengados</x:v>
      </x:c>
      <x:c r="E384" s="24" t="n">
        <x:v>1057990</x:v>
      </x:c>
      <x:c r="F384" s="23" t="str">
        <x:v>ERP simulado</x:v>
      </x:c>
      <x:c r="G384" s="23" t="str">
        <x:v>Actual</x:v>
      </x:c>
      <x:c r="H384" s="23" t="str">
        <x:v>EUR</x:v>
      </x:c>
    </x:row>
    <x:row r="385">
      <x:c r="A385" s="23" t="str">
        <x:v>2025-10</x:v>
      </x:c>
      <x:c r="B385" s="23" t="str">
        <x:v>2025-10-31</x:v>
      </x:c>
      <x:c r="C385" s="23" t="str">
        <x:v>2200</x:v>
      </x:c>
      <x:c r="D385" s="23" t="str">
        <x:v>Impuestos a pagar</x:v>
      </x:c>
      <x:c r="E385" s="24" t="n">
        <x:v>130776</x:v>
      </x:c>
      <x:c r="F385" s="23" t="str">
        <x:v>ERP simulado</x:v>
      </x:c>
      <x:c r="G385" s="23" t="str">
        <x:v>Actual</x:v>
      </x:c>
      <x:c r="H385" s="23" t="str">
        <x:v>EUR</x:v>
      </x:c>
    </x:row>
    <x:row r="386">
      <x:c r="A386" s="23" t="str">
        <x:v>2025-10</x:v>
      </x:c>
      <x:c r="B386" s="23" t="str">
        <x:v>2025-10-31</x:v>
      </x:c>
      <x:c r="C386" s="23" t="str">
        <x:v>2300</x:v>
      </x:c>
      <x:c r="D386" s="23" t="str">
        <x:v>Deuda financiera corriente</x:v>
      </x:c>
      <x:c r="E386" s="24" t="n">
        <x:v>1245000</x:v>
      </x:c>
      <x:c r="F386" s="23" t="str">
        <x:v>ERP simulado</x:v>
      </x:c>
      <x:c r="G386" s="23" t="str">
        <x:v>Actual</x:v>
      </x:c>
      <x:c r="H386" s="23" t="str">
        <x:v>EUR</x:v>
      </x:c>
    </x:row>
    <x:row r="387">
      <x:c r="A387" s="23" t="str">
        <x:v>2025-10</x:v>
      </x:c>
      <x:c r="B387" s="23" t="str">
        <x:v>2025-10-31</x:v>
      </x:c>
      <x:c r="C387" s="23" t="str">
        <x:v>2400</x:v>
      </x:c>
      <x:c r="D387" s="23" t="str">
        <x:v>Pasivos por arrendamiento corrientes</x:v>
      </x:c>
      <x:c r="E387" s="24" t="n">
        <x:v>135000</x:v>
      </x:c>
      <x:c r="F387" s="23" t="str">
        <x:v>ERP simulado</x:v>
      </x:c>
      <x:c r="G387" s="23" t="str">
        <x:v>Actual</x:v>
      </x:c>
      <x:c r="H387" s="23" t="str">
        <x:v>EUR</x:v>
      </x:c>
    </x:row>
    <x:row r="388">
      <x:c r="A388" s="23" t="str">
        <x:v>2025-10</x:v>
      </x:c>
      <x:c r="B388" s="23" t="str">
        <x:v>2025-10-31</x:v>
      </x:c>
      <x:c r="C388" s="23" t="str">
        <x:v>2500</x:v>
      </x:c>
      <x:c r="D388" s="23" t="str">
        <x:v>Deuda financiera no corriente</x:v>
      </x:c>
      <x:c r="E388" s="24" t="n">
        <x:v>4980000</x:v>
      </x:c>
      <x:c r="F388" s="23" t="str">
        <x:v>ERP simulado</x:v>
      </x:c>
      <x:c r="G388" s="23" t="str">
        <x:v>Actual</x:v>
      </x:c>
      <x:c r="H388" s="23" t="str">
        <x:v>EUR</x:v>
      </x:c>
    </x:row>
    <x:row r="389">
      <x:c r="A389" s="23" t="str">
        <x:v>2025-10</x:v>
      </x:c>
      <x:c r="B389" s="23" t="str">
        <x:v>2025-10-31</x:v>
      </x:c>
      <x:c r="C389" s="23" t="str">
        <x:v>2600</x:v>
      </x:c>
      <x:c r="D389" s="23" t="str">
        <x:v>Pasivos por arrendamiento no corrientes</x:v>
      </x:c>
      <x:c r="E389" s="24" t="n">
        <x:v>315000</x:v>
      </x:c>
      <x:c r="F389" s="23" t="str">
        <x:v>ERP simulado</x:v>
      </x:c>
      <x:c r="G389" s="23" t="str">
        <x:v>Actual</x:v>
      </x:c>
      <x:c r="H389" s="23" t="str">
        <x:v>EUR</x:v>
      </x:c>
    </x:row>
    <x:row r="390">
      <x:c r="A390" s="23" t="str">
        <x:v>2025-10</x:v>
      </x:c>
      <x:c r="B390" s="23" t="str">
        <x:v>2025-10-31</x:v>
      </x:c>
      <x:c r="C390" s="23" t="str">
        <x:v>2700</x:v>
      </x:c>
      <x:c r="D390" s="23" t="str">
        <x:v>Otros pasivos</x:v>
      </x:c>
      <x:c r="E390" s="24" t="n">
        <x:v>800000</x:v>
      </x:c>
      <x:c r="F390" s="23" t="str">
        <x:v>ERP simulado</x:v>
      </x:c>
      <x:c r="G390" s="23" t="str">
        <x:v>Actual</x:v>
      </x:c>
      <x:c r="H390" s="23" t="str">
        <x:v>EUR</x:v>
      </x:c>
    </x:row>
    <x:row r="391">
      <x:c r="A391" s="23" t="str">
        <x:v>2025-10</x:v>
      </x:c>
      <x:c r="B391" s="23" t="str">
        <x:v>2025-10-31</x:v>
      </x:c>
      <x:c r="C391" s="23" t="str">
        <x:v>3000</x:v>
      </x:c>
      <x:c r="D391" s="23" t="str">
        <x:v>Capital social</x:v>
      </x:c>
      <x:c r="E391" s="24" t="n">
        <x:v>5000000</x:v>
      </x:c>
      <x:c r="F391" s="23" t="str">
        <x:v>ERP simulado</x:v>
      </x:c>
      <x:c r="G391" s="23" t="str">
        <x:v>Actual</x:v>
      </x:c>
      <x:c r="H391" s="23" t="str">
        <x:v>EUR</x:v>
      </x:c>
    </x:row>
    <x:row r="392">
      <x:c r="A392" s="23" t="str">
        <x:v>2025-10</x:v>
      </x:c>
      <x:c r="B392" s="23" t="str">
        <x:v>2025-10-31</x:v>
      </x:c>
      <x:c r="C392" s="23" t="str">
        <x:v>3100</x:v>
      </x:c>
      <x:c r="D392" s="23" t="str">
        <x:v>Resultados acumulados</x:v>
      </x:c>
      <x:c r="E392" s="24" t="n">
        <x:v>9484408</x:v>
      </x:c>
      <x:c r="F392" s="23" t="str">
        <x:v>ERP simulado</x:v>
      </x:c>
      <x:c r="G392" s="23" t="str">
        <x:v>Actual</x:v>
      </x:c>
      <x:c r="H392" s="23" t="str">
        <x:v>EUR</x:v>
      </x:c>
    </x:row>
    <x:row r="393">
      <x:c r="A393" s="23" t="str">
        <x:v>2025-11</x:v>
      </x:c>
      <x:c r="B393" s="23" t="str">
        <x:v>2025-11-30</x:v>
      </x:c>
      <x:c r="C393" s="23" t="str">
        <x:v>1000</x:v>
      </x:c>
      <x:c r="D393" s="23" t="str">
        <x:v>Efectivo y equivalentes</x:v>
      </x:c>
      <x:c r="E393" s="24" t="n">
        <x:v>6007897</x:v>
      </x:c>
      <x:c r="F393" s="23" t="str">
        <x:v>ERP simulado</x:v>
      </x:c>
      <x:c r="G393" s="23" t="str">
        <x:v>Actual</x:v>
      </x:c>
      <x:c r="H393" s="23" t="str">
        <x:v>EUR</x:v>
      </x:c>
    </x:row>
    <x:row r="394">
      <x:c r="A394" s="23" t="str">
        <x:v>2025-11</x:v>
      </x:c>
      <x:c r="B394" s="23" t="str">
        <x:v>2025-11-30</x:v>
      </x:c>
      <x:c r="C394" s="23" t="str">
        <x:v>1100</x:v>
      </x:c>
      <x:c r="D394" s="23" t="str">
        <x:v>Clientes</x:v>
      </x:c>
      <x:c r="E394" s="24" t="n">
        <x:v>6567744</x:v>
      </x:c>
      <x:c r="F394" s="23" t="str">
        <x:v>ERP simulado</x:v>
      </x:c>
      <x:c r="G394" s="23" t="str">
        <x:v>Actual</x:v>
      </x:c>
      <x:c r="H394" s="23" t="str">
        <x:v>EUR</x:v>
      </x:c>
    </x:row>
    <x:row r="395">
      <x:c r="A395" s="23" t="str">
        <x:v>2025-11</x:v>
      </x:c>
      <x:c r="B395" s="23" t="str">
        <x:v>2025-11-30</x:v>
      </x:c>
      <x:c r="C395" s="23" t="str">
        <x:v>1200</x:v>
      </x:c>
      <x:c r="D395" s="23" t="str">
        <x:v>Existencias</x:v>
      </x:c>
      <x:c r="E395" s="24" t="n">
        <x:v>3768528</x:v>
      </x:c>
      <x:c r="F395" s="23" t="str">
        <x:v>ERP simulado</x:v>
      </x:c>
      <x:c r="G395" s="23" t="str">
        <x:v>Actual</x:v>
      </x:c>
      <x:c r="H395" s="23" t="str">
        <x:v>EUR</x:v>
      </x:c>
    </x:row>
    <x:row r="396">
      <x:c r="A396" s="23" t="str">
        <x:v>2025-11</x:v>
      </x:c>
      <x:c r="B396" s="23" t="str">
        <x:v>2025-11-30</x:v>
      </x:c>
      <x:c r="C396" s="23" t="str">
        <x:v>1300</x:v>
      </x:c>
      <x:c r="D396" s="23" t="str">
        <x:v>Pagos anticipados y otros activos corrientes</x:v>
      </x:c>
      <x:c r="E396" s="24" t="n">
        <x:v>772115</x:v>
      </x:c>
      <x:c r="F396" s="23" t="str">
        <x:v>ERP simulado</x:v>
      </x:c>
      <x:c r="G396" s="23" t="str">
        <x:v>Actual</x:v>
      </x:c>
      <x:c r="H396" s="23" t="str">
        <x:v>EUR</x:v>
      </x:c>
    </x:row>
    <x:row r="397">
      <x:c r="A397" s="23" t="str">
        <x:v>2025-11</x:v>
      </x:c>
      <x:c r="B397" s="23" t="str">
        <x:v>2025-11-30</x:v>
      </x:c>
      <x:c r="C397" s="23" t="str">
        <x:v>1400</x:v>
      </x:c>
      <x:c r="D397" s="23" t="str">
        <x:v>Inmovilizado material neto</x:v>
      </x:c>
      <x:c r="E397" s="24" t="n">
        <x:v>8020686</x:v>
      </x:c>
      <x:c r="F397" s="23" t="str">
        <x:v>ERP simulado</x:v>
      </x:c>
      <x:c r="G397" s="23" t="str">
        <x:v>Actual</x:v>
      </x:c>
      <x:c r="H397" s="23" t="str">
        <x:v>EUR</x:v>
      </x:c>
    </x:row>
    <x:row r="398">
      <x:c r="A398" s="23" t="str">
        <x:v>2025-11</x:v>
      </x:c>
      <x:c r="B398" s="23" t="str">
        <x:v>2025-11-30</x:v>
      </x:c>
      <x:c r="C398" s="23" t="str">
        <x:v>1500</x:v>
      </x:c>
      <x:c r="D398" s="23" t="str">
        <x:v>Activos intangibles netos</x:v>
      </x:c>
      <x:c r="E398" s="24" t="n">
        <x:v>1160450</x:v>
      </x:c>
      <x:c r="F398" s="23" t="str">
        <x:v>ERP simulado</x:v>
      </x:c>
      <x:c r="G398" s="23" t="str">
        <x:v>Actual</x:v>
      </x:c>
      <x:c r="H398" s="23" t="str">
        <x:v>EUR</x:v>
      </x:c>
    </x:row>
    <x:row r="399">
      <x:c r="A399" s="23" t="str">
        <x:v>2025-11</x:v>
      </x:c>
      <x:c r="B399" s="23" t="str">
        <x:v>2025-11-30</x:v>
      </x:c>
      <x:c r="C399" s="23" t="str">
        <x:v>1600</x:v>
      </x:c>
      <x:c r="D399" s="23" t="str">
        <x:v>Otros activos no corrientes</x:v>
      </x:c>
      <x:c r="E399" s="24" t="n">
        <x:v>800000</x:v>
      </x:c>
      <x:c r="F399" s="23" t="str">
        <x:v>ERP simulado</x:v>
      </x:c>
      <x:c r="G399" s="23" t="str">
        <x:v>Actual</x:v>
      </x:c>
      <x:c r="H399" s="23" t="str">
        <x:v>EUR</x:v>
      </x:c>
    </x:row>
    <x:row r="400">
      <x:c r="A400" s="23" t="str">
        <x:v>2025-11</x:v>
      </x:c>
      <x:c r="B400" s="23" t="str">
        <x:v>2025-11-30</x:v>
      </x:c>
      <x:c r="C400" s="23" t="str">
        <x:v>2000</x:v>
      </x:c>
      <x:c r="D400" s="23" t="str">
        <x:v>Proveedores</x:v>
      </x:c>
      <x:c r="E400" s="24" t="n">
        <x:v>3615025</x:v>
      </x:c>
      <x:c r="F400" s="23" t="str">
        <x:v>ERP simulado</x:v>
      </x:c>
      <x:c r="G400" s="23" t="str">
        <x:v>Actual</x:v>
      </x:c>
      <x:c r="H400" s="23" t="str">
        <x:v>EUR</x:v>
      </x:c>
    </x:row>
    <x:row r="401">
      <x:c r="A401" s="23" t="str">
        <x:v>2025-11</x:v>
      </x:c>
      <x:c r="B401" s="23" t="str">
        <x:v>2025-11-30</x:v>
      </x:c>
      <x:c r="C401" s="23" t="str">
        <x:v>2100</x:v>
      </x:c>
      <x:c r="D401" s="23" t="str">
        <x:v>Acreedores y gastos devengados</x:v>
      </x:c>
      <x:c r="E401" s="24" t="n">
        <x:v>1103021</x:v>
      </x:c>
      <x:c r="F401" s="23" t="str">
        <x:v>ERP simulado</x:v>
      </x:c>
      <x:c r="G401" s="23" t="str">
        <x:v>Actual</x:v>
      </x:c>
      <x:c r="H401" s="23" t="str">
        <x:v>EUR</x:v>
      </x:c>
    </x:row>
    <x:row r="402">
      <x:c r="A402" s="23" t="str">
        <x:v>2025-11</x:v>
      </x:c>
      <x:c r="B402" s="23" t="str">
        <x:v>2025-11-30</x:v>
      </x:c>
      <x:c r="C402" s="23" t="str">
        <x:v>2200</x:v>
      </x:c>
      <x:c r="D402" s="23" t="str">
        <x:v>Impuestos a pagar</x:v>
      </x:c>
      <x:c r="E402" s="24" t="n">
        <x:v>138093</x:v>
      </x:c>
      <x:c r="F402" s="23" t="str">
        <x:v>ERP simulado</x:v>
      </x:c>
      <x:c r="G402" s="23" t="str">
        <x:v>Actual</x:v>
      </x:c>
      <x:c r="H402" s="23" t="str">
        <x:v>EUR</x:v>
      </x:c>
    </x:row>
    <x:row r="403">
      <x:c r="A403" s="23" t="str">
        <x:v>2025-11</x:v>
      </x:c>
      <x:c r="B403" s="23" t="str">
        <x:v>2025-11-30</x:v>
      </x:c>
      <x:c r="C403" s="23" t="str">
        <x:v>2300</x:v>
      </x:c>
      <x:c r="D403" s="23" t="str">
        <x:v>Deuda financiera corriente</x:v>
      </x:c>
      <x:c r="E403" s="24" t="n">
        <x:v>1245000</x:v>
      </x:c>
      <x:c r="F403" s="23" t="str">
        <x:v>ERP simulado</x:v>
      </x:c>
      <x:c r="G403" s="23" t="str">
        <x:v>Actual</x:v>
      </x:c>
      <x:c r="H403" s="23" t="str">
        <x:v>EUR</x:v>
      </x:c>
    </x:row>
    <x:row r="404">
      <x:c r="A404" s="23" t="str">
        <x:v>2025-11</x:v>
      </x:c>
      <x:c r="B404" s="23" t="str">
        <x:v>2025-11-30</x:v>
      </x:c>
      <x:c r="C404" s="23" t="str">
        <x:v>2400</x:v>
      </x:c>
      <x:c r="D404" s="23" t="str">
        <x:v>Pasivos por arrendamiento corrientes</x:v>
      </x:c>
      <x:c r="E404" s="24" t="n">
        <x:v>127500</x:v>
      </x:c>
      <x:c r="F404" s="23" t="str">
        <x:v>ERP simulado</x:v>
      </x:c>
      <x:c r="G404" s="23" t="str">
        <x:v>Actual</x:v>
      </x:c>
      <x:c r="H404" s="23" t="str">
        <x:v>EUR</x:v>
      </x:c>
    </x:row>
    <x:row r="405">
      <x:c r="A405" s="23" t="str">
        <x:v>2025-11</x:v>
      </x:c>
      <x:c r="B405" s="23" t="str">
        <x:v>2025-11-30</x:v>
      </x:c>
      <x:c r="C405" s="23" t="str">
        <x:v>2500</x:v>
      </x:c>
      <x:c r="D405" s="23" t="str">
        <x:v>Deuda financiera no corriente</x:v>
      </x:c>
      <x:c r="E405" s="24" t="n">
        <x:v>4980000</x:v>
      </x:c>
      <x:c r="F405" s="23" t="str">
        <x:v>ERP simulado</x:v>
      </x:c>
      <x:c r="G405" s="23" t="str">
        <x:v>Actual</x:v>
      </x:c>
      <x:c r="H405" s="23" t="str">
        <x:v>EUR</x:v>
      </x:c>
    </x:row>
    <x:row r="406">
      <x:c r="A406" s="23" t="str">
        <x:v>2025-11</x:v>
      </x:c>
      <x:c r="B406" s="23" t="str">
        <x:v>2025-11-30</x:v>
      </x:c>
      <x:c r="C406" s="23" t="str">
        <x:v>2600</x:v>
      </x:c>
      <x:c r="D406" s="23" t="str">
        <x:v>Pasivos por arrendamiento no corrientes</x:v>
      </x:c>
      <x:c r="E406" s="24" t="n">
        <x:v>297500</x:v>
      </x:c>
      <x:c r="F406" s="23" t="str">
        <x:v>ERP simulado</x:v>
      </x:c>
      <x:c r="G406" s="23" t="str">
        <x:v>Actual</x:v>
      </x:c>
      <x:c r="H406" s="23" t="str">
        <x:v>EUR</x:v>
      </x:c>
    </x:row>
    <x:row r="407">
      <x:c r="A407" s="23" t="str">
        <x:v>2025-11</x:v>
      </x:c>
      <x:c r="B407" s="23" t="str">
        <x:v>2025-11-30</x:v>
      </x:c>
      <x:c r="C407" s="23" t="str">
        <x:v>2700</x:v>
      </x:c>
      <x:c r="D407" s="23" t="str">
        <x:v>Otros pasivos</x:v>
      </x:c>
      <x:c r="E407" s="24" t="n">
        <x:v>800000</x:v>
      </x:c>
      <x:c r="F407" s="23" t="str">
        <x:v>ERP simulado</x:v>
      </x:c>
      <x:c r="G407" s="23" t="str">
        <x:v>Actual</x:v>
      </x:c>
      <x:c r="H407" s="23" t="str">
        <x:v>EUR</x:v>
      </x:c>
    </x:row>
    <x:row r="408">
      <x:c r="A408" s="23" t="str">
        <x:v>2025-11</x:v>
      </x:c>
      <x:c r="B408" s="23" t="str">
        <x:v>2025-11-30</x:v>
      </x:c>
      <x:c r="C408" s="23" t="str">
        <x:v>3000</x:v>
      </x:c>
      <x:c r="D408" s="23" t="str">
        <x:v>Capital social</x:v>
      </x:c>
      <x:c r="E408" s="24" t="n">
        <x:v>5000000</x:v>
      </x:c>
      <x:c r="F408" s="23" t="str">
        <x:v>ERP simulado</x:v>
      </x:c>
      <x:c r="G408" s="23" t="str">
        <x:v>Actual</x:v>
      </x:c>
      <x:c r="H408" s="23" t="str">
        <x:v>EUR</x:v>
      </x:c>
    </x:row>
    <x:row r="409">
      <x:c r="A409" s="23" t="str">
        <x:v>2025-11</x:v>
      </x:c>
      <x:c r="B409" s="23" t="str">
        <x:v>2025-11-30</x:v>
      </x:c>
      <x:c r="C409" s="23" t="str">
        <x:v>3100</x:v>
      </x:c>
      <x:c r="D409" s="23" t="str">
        <x:v>Resultados acumulados</x:v>
      </x:c>
      <x:c r="E409" s="24" t="n">
        <x:v>9791281</x:v>
      </x:c>
      <x:c r="F409" s="23" t="str">
        <x:v>ERP simulado</x:v>
      </x:c>
      <x:c r="G409" s="23" t="str">
        <x:v>Actual</x:v>
      </x:c>
      <x:c r="H409" s="23" t="str">
        <x:v>EUR</x:v>
      </x:c>
    </x:row>
    <x:row r="410">
      <x:c r="A410" s="23" t="str">
        <x:v>2025-12</x:v>
      </x:c>
      <x:c r="B410" s="23" t="str">
        <x:v>2025-12-31</x:v>
      </x:c>
      <x:c r="C410" s="23" t="str">
        <x:v>1000</x:v>
      </x:c>
      <x:c r="D410" s="23" t="str">
        <x:v>Efectivo y equivalentes</x:v>
      </x:c>
      <x:c r="E410" s="24" t="n">
        <x:v>5620368</x:v>
      </x:c>
      <x:c r="F410" s="23" t="str">
        <x:v>ERP simulado</x:v>
      </x:c>
      <x:c r="G410" s="23" t="str">
        <x:v>Actual</x:v>
      </x:c>
      <x:c r="H410" s="23" t="str">
        <x:v>EUR</x:v>
      </x:c>
    </x:row>
    <x:row r="411">
      <x:c r="A411" s="23" t="str">
        <x:v>2025-12</x:v>
      </x:c>
      <x:c r="B411" s="23" t="str">
        <x:v>2025-12-31</x:v>
      </x:c>
      <x:c r="C411" s="23" t="str">
        <x:v>1100</x:v>
      </x:c>
      <x:c r="D411" s="23" t="str">
        <x:v>Clientes</x:v>
      </x:c>
      <x:c r="E411" s="24" t="n">
        <x:v>6896367</x:v>
      </x:c>
      <x:c r="F411" s="23" t="str">
        <x:v>ERP simulado</x:v>
      </x:c>
      <x:c r="G411" s="23" t="str">
        <x:v>Actual</x:v>
      </x:c>
      <x:c r="H411" s="23" t="str">
        <x:v>EUR</x:v>
      </x:c>
    </x:row>
    <x:row r="412">
      <x:c r="A412" s="23" t="str">
        <x:v>2025-12</x:v>
      </x:c>
      <x:c r="B412" s="23" t="str">
        <x:v>2025-12-31</x:v>
      </x:c>
      <x:c r="C412" s="23" t="str">
        <x:v>1200</x:v>
      </x:c>
      <x:c r="D412" s="23" t="str">
        <x:v>Existencias</x:v>
      </x:c>
      <x:c r="E412" s="24" t="n">
        <x:v>3973201</x:v>
      </x:c>
      <x:c r="F412" s="23" t="str">
        <x:v>ERP simulado</x:v>
      </x:c>
      <x:c r="G412" s="23" t="str">
        <x:v>Actual</x:v>
      </x:c>
      <x:c r="H412" s="23" t="str">
        <x:v>EUR</x:v>
      </x:c>
    </x:row>
    <x:row r="413">
      <x:c r="A413" s="23" t="str">
        <x:v>2025-12</x:v>
      </x:c>
      <x:c r="B413" s="23" t="str">
        <x:v>2025-12-31</x:v>
      </x:c>
      <x:c r="C413" s="23" t="str">
        <x:v>1300</x:v>
      </x:c>
      <x:c r="D413" s="23" t="str">
        <x:v>Pagos anticipados y otros activos corrientes</x:v>
      </x:c>
      <x:c r="E413" s="24" t="n">
        <x:v>831650</x:v>
      </x:c>
      <x:c r="F413" s="23" t="str">
        <x:v>ERP simulado</x:v>
      </x:c>
      <x:c r="G413" s="23" t="str">
        <x:v>Actual</x:v>
      </x:c>
      <x:c r="H413" s="23" t="str">
        <x:v>EUR</x:v>
      </x:c>
    </x:row>
    <x:row r="414">
      <x:c r="A414" s="23" t="str">
        <x:v>2025-12</x:v>
      </x:c>
      <x:c r="B414" s="23" t="str">
        <x:v>2025-12-31</x:v>
      </x:c>
      <x:c r="C414" s="23" t="str">
        <x:v>1400</x:v>
      </x:c>
      <x:c r="D414" s="23" t="str">
        <x:v>Inmovilizado material neto</x:v>
      </x:c>
      <x:c r="E414" s="24" t="n">
        <x:v>8022749</x:v>
      </x:c>
      <x:c r="F414" s="23" t="str">
        <x:v>ERP simulado</x:v>
      </x:c>
      <x:c r="G414" s="23" t="str">
        <x:v>Actual</x:v>
      </x:c>
      <x:c r="H414" s="23" t="str">
        <x:v>EUR</x:v>
      </x:c>
    </x:row>
    <x:row r="415">
      <x:c r="A415" s="23" t="str">
        <x:v>2025-12</x:v>
      </x:c>
      <x:c r="B415" s="23" t="str">
        <x:v>2025-12-31</x:v>
      </x:c>
      <x:c r="C415" s="23" t="str">
        <x:v>1500</x:v>
      </x:c>
      <x:c r="D415" s="23" t="str">
        <x:v>Activos intangibles netos</x:v>
      </x:c>
      <x:c r="E415" s="24" t="n">
        <x:v>1175400</x:v>
      </x:c>
      <x:c r="F415" s="23" t="str">
        <x:v>ERP simulado</x:v>
      </x:c>
      <x:c r="G415" s="23" t="str">
        <x:v>Actual</x:v>
      </x:c>
      <x:c r="H415" s="23" t="str">
        <x:v>EUR</x:v>
      </x:c>
    </x:row>
    <x:row r="416">
      <x:c r="A416" s="23" t="str">
        <x:v>2025-12</x:v>
      </x:c>
      <x:c r="B416" s="23" t="str">
        <x:v>2025-12-31</x:v>
      </x:c>
      <x:c r="C416" s="23" t="str">
        <x:v>1600</x:v>
      </x:c>
      <x:c r="D416" s="23" t="str">
        <x:v>Otros activos no corrientes</x:v>
      </x:c>
      <x:c r="E416" s="24" t="n">
        <x:v>800000</x:v>
      </x:c>
      <x:c r="F416" s="23" t="str">
        <x:v>ERP simulado</x:v>
      </x:c>
      <x:c r="G416" s="23" t="str">
        <x:v>Actual</x:v>
      </x:c>
      <x:c r="H416" s="23" t="str">
        <x:v>EUR</x:v>
      </x:c>
    </x:row>
    <x:row r="417">
      <x:c r="A417" s="23" t="str">
        <x:v>2025-12</x:v>
      </x:c>
      <x:c r="B417" s="23" t="str">
        <x:v>2025-12-31</x:v>
      </x:c>
      <x:c r="C417" s="23" t="str">
        <x:v>2000</x:v>
      </x:c>
      <x:c r="D417" s="23" t="str">
        <x:v>Proveedores</x:v>
      </x:c>
      <x:c r="E417" s="24" t="n">
        <x:v>3747154</x:v>
      </x:c>
      <x:c r="F417" s="23" t="str">
        <x:v>ERP simulado</x:v>
      </x:c>
      <x:c r="G417" s="23" t="str">
        <x:v>Actual</x:v>
      </x:c>
      <x:c r="H417" s="23" t="str">
        <x:v>EUR</x:v>
      </x:c>
    </x:row>
    <x:row r="418">
      <x:c r="A418" s="23" t="str">
        <x:v>2025-12</x:v>
      </x:c>
      <x:c r="B418" s="23" t="str">
        <x:v>2025-12-31</x:v>
      </x:c>
      <x:c r="C418" s="23" t="str">
        <x:v>2100</x:v>
      </x:c>
      <x:c r="D418" s="23" t="str">
        <x:v>Acreedores y gastos devengados</x:v>
      </x:c>
      <x:c r="E418" s="24" t="n">
        <x:v>1188072</x:v>
      </x:c>
      <x:c r="F418" s="23" t="str">
        <x:v>ERP simulado</x:v>
      </x:c>
      <x:c r="G418" s="23" t="str">
        <x:v>Actual</x:v>
      </x:c>
      <x:c r="H418" s="23" t="str">
        <x:v>EUR</x:v>
      </x:c>
    </x:row>
    <x:row r="419">
      <x:c r="A419" s="23" t="str">
        <x:v>2025-12</x:v>
      </x:c>
      <x:c r="B419" s="23" t="str">
        <x:v>2025-12-31</x:v>
      </x:c>
      <x:c r="C419" s="23" t="str">
        <x:v>2200</x:v>
      </x:c>
      <x:c r="D419" s="23" t="str">
        <x:v>Impuestos a pagar</x:v>
      </x:c>
      <x:c r="E419" s="24" t="n">
        <x:v>153071</x:v>
      </x:c>
      <x:c r="F419" s="23" t="str">
        <x:v>ERP simulado</x:v>
      </x:c>
      <x:c r="G419" s="23" t="str">
        <x:v>Actual</x:v>
      </x:c>
      <x:c r="H419" s="23" t="str">
        <x:v>EUR</x:v>
      </x:c>
    </x:row>
    <x:row r="420">
      <x:c r="A420" s="23" t="str">
        <x:v>2025-12</x:v>
      </x:c>
      <x:c r="B420" s="23" t="str">
        <x:v>2025-12-31</x:v>
      </x:c>
      <x:c r="C420" s="23" t="str">
        <x:v>2300</x:v>
      </x:c>
      <x:c r="D420" s="23" t="str">
        <x:v>Deuda financiera corriente</x:v>
      </x:c>
      <x:c r="E420" s="24" t="n">
        <x:v>1220000</x:v>
      </x:c>
      <x:c r="F420" s="23" t="str">
        <x:v>ERP simulado</x:v>
      </x:c>
      <x:c r="G420" s="23" t="str">
        <x:v>Actual</x:v>
      </x:c>
      <x:c r="H420" s="23" t="str">
        <x:v>EUR</x:v>
      </x:c>
    </x:row>
    <x:row r="421">
      <x:c r="A421" s="23" t="str">
        <x:v>2025-12</x:v>
      </x:c>
      <x:c r="B421" s="23" t="str">
        <x:v>2025-12-31</x:v>
      </x:c>
      <x:c r="C421" s="23" t="str">
        <x:v>2400</x:v>
      </x:c>
      <x:c r="D421" s="23" t="str">
        <x:v>Pasivos por arrendamiento corrientes</x:v>
      </x:c>
      <x:c r="E421" s="24" t="n">
        <x:v>120000</x:v>
      </x:c>
      <x:c r="F421" s="23" t="str">
        <x:v>ERP simulado</x:v>
      </x:c>
      <x:c r="G421" s="23" t="str">
        <x:v>Actual</x:v>
      </x:c>
      <x:c r="H421" s="23" t="str">
        <x:v>EUR</x:v>
      </x:c>
    </x:row>
    <x:row r="422">
      <x:c r="A422" s="23" t="str">
        <x:v>2025-12</x:v>
      </x:c>
      <x:c r="B422" s="23" t="str">
        <x:v>2025-12-31</x:v>
      </x:c>
      <x:c r="C422" s="23" t="str">
        <x:v>2500</x:v>
      </x:c>
      <x:c r="D422" s="23" t="str">
        <x:v>Deuda financiera no corriente</x:v>
      </x:c>
      <x:c r="E422" s="24" t="n">
        <x:v>4880000</x:v>
      </x:c>
      <x:c r="F422" s="23" t="str">
        <x:v>ERP simulado</x:v>
      </x:c>
      <x:c r="G422" s="23" t="str">
        <x:v>Actual</x:v>
      </x:c>
      <x:c r="H422" s="23" t="str">
        <x:v>EUR</x:v>
      </x:c>
    </x:row>
    <x:row r="423">
      <x:c r="A423" s="23" t="str">
        <x:v>2025-12</x:v>
      </x:c>
      <x:c r="B423" s="23" t="str">
        <x:v>2025-12-31</x:v>
      </x:c>
      <x:c r="C423" s="23" t="str">
        <x:v>2600</x:v>
      </x:c>
      <x:c r="D423" s="23" t="str">
        <x:v>Pasivos por arrendamiento no corrientes</x:v>
      </x:c>
      <x:c r="E423" s="24" t="n">
        <x:v>280000</x:v>
      </x:c>
      <x:c r="F423" s="23" t="str">
        <x:v>ERP simulado</x:v>
      </x:c>
      <x:c r="G423" s="23" t="str">
        <x:v>Actual</x:v>
      </x:c>
      <x:c r="H423" s="23" t="str">
        <x:v>EUR</x:v>
      </x:c>
    </x:row>
    <x:row r="424">
      <x:c r="A424" s="23" t="str">
        <x:v>2025-12</x:v>
      </x:c>
      <x:c r="B424" s="23" t="str">
        <x:v>2025-12-31</x:v>
      </x:c>
      <x:c r="C424" s="23" t="str">
        <x:v>2700</x:v>
      </x:c>
      <x:c r="D424" s="23" t="str">
        <x:v>Otros pasivos</x:v>
      </x:c>
      <x:c r="E424" s="24" t="n">
        <x:v>800000</x:v>
      </x:c>
      <x:c r="F424" s="23" t="str">
        <x:v>ERP simulado</x:v>
      </x:c>
      <x:c r="G424" s="23" t="str">
        <x:v>Actual</x:v>
      </x:c>
      <x:c r="H424" s="23" t="str">
        <x:v>EUR</x:v>
      </x:c>
    </x:row>
    <x:row r="425">
      <x:c r="A425" s="23" t="str">
        <x:v>2025-12</x:v>
      </x:c>
      <x:c r="B425" s="23" t="str">
        <x:v>2025-12-31</x:v>
      </x:c>
      <x:c r="C425" s="23" t="str">
        <x:v>3000</x:v>
      </x:c>
      <x:c r="D425" s="23" t="str">
        <x:v>Capital social</x:v>
      </x:c>
      <x:c r="E425" s="24" t="n">
        <x:v>5000000</x:v>
      </x:c>
      <x:c r="F425" s="23" t="str">
        <x:v>ERP simulado</x:v>
      </x:c>
      <x:c r="G425" s="23" t="str">
        <x:v>Actual</x:v>
      </x:c>
      <x:c r="H425" s="23" t="str">
        <x:v>EUR</x:v>
      </x:c>
    </x:row>
    <x:row r="426">
      <x:c r="A426" s="23" t="str">
        <x:v>2025-12</x:v>
      </x:c>
      <x:c r="B426" s="23" t="str">
        <x:v>2025-12-31</x:v>
      </x:c>
      <x:c r="C426" s="23" t="str">
        <x:v>3100</x:v>
      </x:c>
      <x:c r="D426" s="23" t="str">
        <x:v>Resultados acumulados</x:v>
      </x:c>
      <x:c r="E426" s="24" t="n">
        <x:v>9931438</x:v>
      </x:c>
      <x:c r="F426" s="23" t="str">
        <x:v>ERP simulado</x:v>
      </x:c>
      <x:c r="G426" s="23" t="str">
        <x:v>Actual</x:v>
      </x:c>
      <x:c r="H426" s="23" t="str">
        <x:v>EUR</x:v>
      </x:c>
    </x:row>
    <x:row r="427">
      <x:c r="A427" s="23" t="str">
        <x:v>2026-01</x:v>
      </x:c>
      <x:c r="B427" s="23" t="str">
        <x:v>2026-01-31</x:v>
      </x:c>
      <x:c r="C427" s="23" t="str">
        <x:v>1000</x:v>
      </x:c>
      <x:c r="D427" s="23" t="str">
        <x:v>Efectivo y equivalentes</x:v>
      </x:c>
      <x:c r="E427" s="24" t="n">
        <x:v>7325375</x:v>
      </x:c>
      <x:c r="F427" s="23" t="str">
        <x:v>ERP simulado</x:v>
      </x:c>
      <x:c r="G427" s="23" t="str">
        <x:v>Actual</x:v>
      </x:c>
      <x:c r="H427" s="23" t="str">
        <x:v>EUR</x:v>
      </x:c>
    </x:row>
    <x:row r="428">
      <x:c r="A428" s="23" t="str">
        <x:v>2026-01</x:v>
      </x:c>
      <x:c r="B428" s="23" t="str">
        <x:v>2026-01-31</x:v>
      </x:c>
      <x:c r="C428" s="23" t="str">
        <x:v>1100</x:v>
      </x:c>
      <x:c r="D428" s="23" t="str">
        <x:v>Clientes</x:v>
      </x:c>
      <x:c r="E428" s="24" t="n">
        <x:v>5243633</x:v>
      </x:c>
      <x:c r="F428" s="23" t="str">
        <x:v>ERP simulado</x:v>
      </x:c>
      <x:c r="G428" s="23" t="str">
        <x:v>Actual</x:v>
      </x:c>
      <x:c r="H428" s="23" t="str">
        <x:v>EUR</x:v>
      </x:c>
    </x:row>
    <x:row r="429">
      <x:c r="A429" s="23" t="str">
        <x:v>2026-01</x:v>
      </x:c>
      <x:c r="B429" s="23" t="str">
        <x:v>2026-01-31</x:v>
      </x:c>
      <x:c r="C429" s="23" t="str">
        <x:v>1200</x:v>
      </x:c>
      <x:c r="D429" s="23" t="str">
        <x:v>Existencias</x:v>
      </x:c>
      <x:c r="E429" s="24" t="n">
        <x:v>3030341</x:v>
      </x:c>
      <x:c r="F429" s="23" t="str">
        <x:v>ERP simulado</x:v>
      </x:c>
      <x:c r="G429" s="23" t="str">
        <x:v>Actual</x:v>
      </x:c>
      <x:c r="H429" s="23" t="str">
        <x:v>EUR</x:v>
      </x:c>
    </x:row>
    <x:row r="430">
      <x:c r="A430" s="23" t="str">
        <x:v>2026-01</x:v>
      </x:c>
      <x:c r="B430" s="23" t="str">
        <x:v>2026-01-31</x:v>
      </x:c>
      <x:c r="C430" s="23" t="str">
        <x:v>1300</x:v>
      </x:c>
      <x:c r="D430" s="23" t="str">
        <x:v>Pagos anticipados y otros activos corrientes</x:v>
      </x:c>
      <x:c r="E430" s="24" t="n">
        <x:v>627026</x:v>
      </x:c>
      <x:c r="F430" s="23" t="str">
        <x:v>ERP simulado</x:v>
      </x:c>
      <x:c r="G430" s="23" t="str">
        <x:v>Actual</x:v>
      </x:c>
      <x:c r="H430" s="23" t="str">
        <x:v>EUR</x:v>
      </x:c>
    </x:row>
    <x:row r="431">
      <x:c r="A431" s="23" t="str">
        <x:v>2026-01</x:v>
      </x:c>
      <x:c r="B431" s="23" t="str">
        <x:v>2026-01-31</x:v>
      </x:c>
      <x:c r="C431" s="23" t="str">
        <x:v>1400</x:v>
      </x:c>
      <x:c r="D431" s="23" t="str">
        <x:v>Inmovilizado material neto</x:v>
      </x:c>
      <x:c r="E431" s="24" t="n">
        <x:v>8022483</x:v>
      </x:c>
      <x:c r="F431" s="23" t="str">
        <x:v>ERP simulado</x:v>
      </x:c>
      <x:c r="G431" s="23" t="str">
        <x:v>Actual</x:v>
      </x:c>
      <x:c r="H431" s="23" t="str">
        <x:v>EUR</x:v>
      </x:c>
    </x:row>
    <x:row r="432">
      <x:c r="A432" s="23" t="str">
        <x:v>2026-01</x:v>
      </x:c>
      <x:c r="B432" s="23" t="str">
        <x:v>2026-01-31</x:v>
      </x:c>
      <x:c r="C432" s="23" t="str">
        <x:v>1500</x:v>
      </x:c>
      <x:c r="D432" s="23" t="str">
        <x:v>Activos intangibles netos</x:v>
      </x:c>
      <x:c r="E432" s="24" t="n">
        <x:v>1160000</x:v>
      </x:c>
      <x:c r="F432" s="23" t="str">
        <x:v>ERP simulado</x:v>
      </x:c>
      <x:c r="G432" s="23" t="str">
        <x:v>Actual</x:v>
      </x:c>
      <x:c r="H432" s="23" t="str">
        <x:v>EUR</x:v>
      </x:c>
    </x:row>
    <x:row r="433">
      <x:c r="A433" s="23" t="str">
        <x:v>2026-01</x:v>
      </x:c>
      <x:c r="B433" s="23" t="str">
        <x:v>2026-01-31</x:v>
      </x:c>
      <x:c r="C433" s="23" t="str">
        <x:v>1600</x:v>
      </x:c>
      <x:c r="D433" s="23" t="str">
        <x:v>Otros activos no corrientes</x:v>
      </x:c>
      <x:c r="E433" s="24" t="n">
        <x:v>800000</x:v>
      </x:c>
      <x:c r="F433" s="23" t="str">
        <x:v>ERP simulado</x:v>
      </x:c>
      <x:c r="G433" s="23" t="str">
        <x:v>Actual</x:v>
      </x:c>
      <x:c r="H433" s="23" t="str">
        <x:v>EUR</x:v>
      </x:c>
    </x:row>
    <x:row r="434">
      <x:c r="A434" s="23" t="str">
        <x:v>2026-01</x:v>
      </x:c>
      <x:c r="B434" s="23" t="str">
        <x:v>2026-01-31</x:v>
      </x:c>
      <x:c r="C434" s="23" t="str">
        <x:v>2000</x:v>
      </x:c>
      <x:c r="D434" s="23" t="str">
        <x:v>Proveedores</x:v>
      </x:c>
      <x:c r="E434" s="24" t="n">
        <x:v>2811391</x:v>
      </x:c>
      <x:c r="F434" s="23" t="str">
        <x:v>ERP simulado</x:v>
      </x:c>
      <x:c r="G434" s="23" t="str">
        <x:v>Actual</x:v>
      </x:c>
      <x:c r="H434" s="23" t="str">
        <x:v>EUR</x:v>
      </x:c>
    </x:row>
    <x:row r="435">
      <x:c r="A435" s="23" t="str">
        <x:v>2026-01</x:v>
      </x:c>
      <x:c r="B435" s="23" t="str">
        <x:v>2026-01-31</x:v>
      </x:c>
      <x:c r="C435" s="23" t="str">
        <x:v>2100</x:v>
      </x:c>
      <x:c r="D435" s="23" t="str">
        <x:v>Acreedores y gastos devengados</x:v>
      </x:c>
      <x:c r="E435" s="24" t="n">
        <x:v>895752</x:v>
      </x:c>
      <x:c r="F435" s="23" t="str">
        <x:v>ERP simulado</x:v>
      </x:c>
      <x:c r="G435" s="23" t="str">
        <x:v>Actual</x:v>
      </x:c>
      <x:c r="H435" s="23" t="str">
        <x:v>EUR</x:v>
      </x:c>
    </x:row>
    <x:row r="436">
      <x:c r="A436" s="23" t="str">
        <x:v>2026-01</x:v>
      </x:c>
      <x:c r="B436" s="23" t="str">
        <x:v>2026-01-31</x:v>
      </x:c>
      <x:c r="C436" s="23" t="str">
        <x:v>2200</x:v>
      </x:c>
      <x:c r="D436" s="23" t="str">
        <x:v>Impuestos a pagar</x:v>
      </x:c>
      <x:c r="E436" s="24" t="n">
        <x:v>91638</x:v>
      </x:c>
      <x:c r="F436" s="23" t="str">
        <x:v>ERP simulado</x:v>
      </x:c>
      <x:c r="G436" s="23" t="str">
        <x:v>Actual</x:v>
      </x:c>
      <x:c r="H436" s="23" t="str">
        <x:v>EUR</x:v>
      </x:c>
    </x:row>
    <x:row r="437">
      <x:c r="A437" s="23" t="str">
        <x:v>2026-01</x:v>
      </x:c>
      <x:c r="B437" s="23" t="str">
        <x:v>2026-01-31</x:v>
      </x:c>
      <x:c r="C437" s="23" t="str">
        <x:v>2300</x:v>
      </x:c>
      <x:c r="D437" s="23" t="str">
        <x:v>Deuda financiera corriente</x:v>
      </x:c>
      <x:c r="E437" s="24" t="n">
        <x:v>1220000</x:v>
      </x:c>
      <x:c r="F437" s="23" t="str">
        <x:v>ERP simulado</x:v>
      </x:c>
      <x:c r="G437" s="23" t="str">
        <x:v>Actual</x:v>
      </x:c>
      <x:c r="H437" s="23" t="str">
        <x:v>EUR</x:v>
      </x:c>
    </x:row>
    <x:row r="438">
      <x:c r="A438" s="23" t="str">
        <x:v>2026-01</x:v>
      </x:c>
      <x:c r="B438" s="23" t="str">
        <x:v>2026-01-31</x:v>
      </x:c>
      <x:c r="C438" s="23" t="str">
        <x:v>2400</x:v>
      </x:c>
      <x:c r="D438" s="23" t="str">
        <x:v>Pasivos por arrendamiento corrientes</x:v>
      </x:c>
      <x:c r="E438" s="24" t="n">
        <x:v>112500</x:v>
      </x:c>
      <x:c r="F438" s="23" t="str">
        <x:v>ERP simulado</x:v>
      </x:c>
      <x:c r="G438" s="23" t="str">
        <x:v>Actual</x:v>
      </x:c>
      <x:c r="H438" s="23" t="str">
        <x:v>EUR</x:v>
      </x:c>
    </x:row>
    <x:row r="439">
      <x:c r="A439" s="23" t="str">
        <x:v>2026-01</x:v>
      </x:c>
      <x:c r="B439" s="23" t="str">
        <x:v>2026-01-31</x:v>
      </x:c>
      <x:c r="C439" s="23" t="str">
        <x:v>2500</x:v>
      </x:c>
      <x:c r="D439" s="23" t="str">
        <x:v>Deuda financiera no corriente</x:v>
      </x:c>
      <x:c r="E439" s="24" t="n">
        <x:v>4880000</x:v>
      </x:c>
      <x:c r="F439" s="23" t="str">
        <x:v>ERP simulado</x:v>
      </x:c>
      <x:c r="G439" s="23" t="str">
        <x:v>Actual</x:v>
      </x:c>
      <x:c r="H439" s="23" t="str">
        <x:v>EUR</x:v>
      </x:c>
    </x:row>
    <x:row r="440">
      <x:c r="A440" s="23" t="str">
        <x:v>2026-01</x:v>
      </x:c>
      <x:c r="B440" s="23" t="str">
        <x:v>2026-01-31</x:v>
      </x:c>
      <x:c r="C440" s="23" t="str">
        <x:v>2600</x:v>
      </x:c>
      <x:c r="D440" s="23" t="str">
        <x:v>Pasivos por arrendamiento no corrientes</x:v>
      </x:c>
      <x:c r="E440" s="24" t="n">
        <x:v>262500</x:v>
      </x:c>
      <x:c r="F440" s="23" t="str">
        <x:v>ERP simulado</x:v>
      </x:c>
      <x:c r="G440" s="23" t="str">
        <x:v>Actual</x:v>
      </x:c>
      <x:c r="H440" s="23" t="str">
        <x:v>EUR</x:v>
      </x:c>
    </x:row>
    <x:row r="441">
      <x:c r="A441" s="23" t="str">
        <x:v>2026-01</x:v>
      </x:c>
      <x:c r="B441" s="23" t="str">
        <x:v>2026-01-31</x:v>
      </x:c>
      <x:c r="C441" s="23" t="str">
        <x:v>2700</x:v>
      </x:c>
      <x:c r="D441" s="23" t="str">
        <x:v>Otros pasivos</x:v>
      </x:c>
      <x:c r="E441" s="24" t="n">
        <x:v>800000</x:v>
      </x:c>
      <x:c r="F441" s="23" t="str">
        <x:v>ERP simulado</x:v>
      </x:c>
      <x:c r="G441" s="23" t="str">
        <x:v>Actual</x:v>
      </x:c>
      <x:c r="H441" s="23" t="str">
        <x:v>EUR</x:v>
      </x:c>
    </x:row>
    <x:row r="442">
      <x:c r="A442" s="23" t="str">
        <x:v>2026-01</x:v>
      </x:c>
      <x:c r="B442" s="23" t="str">
        <x:v>2026-01-31</x:v>
      </x:c>
      <x:c r="C442" s="23" t="str">
        <x:v>3000</x:v>
      </x:c>
      <x:c r="D442" s="23" t="str">
        <x:v>Capital social</x:v>
      </x:c>
      <x:c r="E442" s="24" t="n">
        <x:v>5000000</x:v>
      </x:c>
      <x:c r="F442" s="23" t="str">
        <x:v>ERP simulado</x:v>
      </x:c>
      <x:c r="G442" s="23" t="str">
        <x:v>Actual</x:v>
      </x:c>
      <x:c r="H442" s="23" t="str">
        <x:v>EUR</x:v>
      </x:c>
    </x:row>
    <x:row r="443">
      <x:c r="A443" s="23" t="str">
        <x:v>2026-01</x:v>
      </x:c>
      <x:c r="B443" s="23" t="str">
        <x:v>2026-01-31</x:v>
      </x:c>
      <x:c r="C443" s="23" t="str">
        <x:v>3100</x:v>
      </x:c>
      <x:c r="D443" s="23" t="str">
        <x:v>Resultados acumulados</x:v>
      </x:c>
      <x:c r="E443" s="24" t="n">
        <x:v>10135077</x:v>
      </x:c>
      <x:c r="F443" s="23" t="str">
        <x:v>ERP simulado</x:v>
      </x:c>
      <x:c r="G443" s="23" t="str">
        <x:v>Actual</x:v>
      </x:c>
      <x:c r="H443" s="23" t="str">
        <x:v>EUR</x:v>
      </x:c>
    </x:row>
    <x:row r="444">
      <x:c r="A444" s="23" t="str">
        <x:v>2026-02</x:v>
      </x:c>
      <x:c r="B444" s="23" t="str">
        <x:v>2026-02-28</x:v>
      </x:c>
      <x:c r="C444" s="23" t="str">
        <x:v>1000</x:v>
      </x:c>
      <x:c r="D444" s="23" t="str">
        <x:v>Efectivo y equivalentes</x:v>
      </x:c>
      <x:c r="E444" s="24" t="n">
        <x:v>6628133</x:v>
      </x:c>
      <x:c r="F444" s="23" t="str">
        <x:v>ERP simulado</x:v>
      </x:c>
      <x:c r="G444" s="23" t="str">
        <x:v>Actual</x:v>
      </x:c>
      <x:c r="H444" s="23" t="str">
        <x:v>EUR</x:v>
      </x:c>
    </x:row>
    <x:row r="445">
      <x:c r="A445" s="23" t="str">
        <x:v>2026-02</x:v>
      </x:c>
      <x:c r="B445" s="23" t="str">
        <x:v>2026-02-28</x:v>
      </x:c>
      <x:c r="C445" s="23" t="str">
        <x:v>1100</x:v>
      </x:c>
      <x:c r="D445" s="23" t="str">
        <x:v>Clientes</x:v>
      </x:c>
      <x:c r="E445" s="24" t="n">
        <x:v>6084980</x:v>
      </x:c>
      <x:c r="F445" s="23" t="str">
        <x:v>ERP simulado</x:v>
      </x:c>
      <x:c r="G445" s="23" t="str">
        <x:v>Actual</x:v>
      </x:c>
      <x:c r="H445" s="23" t="str">
        <x:v>EUR</x:v>
      </x:c>
    </x:row>
    <x:row r="446">
      <x:c r="A446" s="23" t="str">
        <x:v>2026-02</x:v>
      </x:c>
      <x:c r="B446" s="23" t="str">
        <x:v>2026-02-28</x:v>
      </x:c>
      <x:c r="C446" s="23" t="str">
        <x:v>1200</x:v>
      </x:c>
      <x:c r="D446" s="23" t="str">
        <x:v>Existencias</x:v>
      </x:c>
      <x:c r="E446" s="24" t="n">
        <x:v>3524279</x:v>
      </x:c>
      <x:c r="F446" s="23" t="str">
        <x:v>ERP simulado</x:v>
      </x:c>
      <x:c r="G446" s="23" t="str">
        <x:v>Actual</x:v>
      </x:c>
      <x:c r="H446" s="23" t="str">
        <x:v>EUR</x:v>
      </x:c>
    </x:row>
    <x:row r="447">
      <x:c r="A447" s="23" t="str">
        <x:v>2026-02</x:v>
      </x:c>
      <x:c r="B447" s="23" t="str">
        <x:v>2026-02-28</x:v>
      </x:c>
      <x:c r="C447" s="23" t="str">
        <x:v>1300</x:v>
      </x:c>
      <x:c r="D447" s="23" t="str">
        <x:v>Pagos anticipados y otros activos corrientes</x:v>
      </x:c>
      <x:c r="E447" s="24" t="n">
        <x:v>651326</x:v>
      </x:c>
      <x:c r="F447" s="23" t="str">
        <x:v>ERP simulado</x:v>
      </x:c>
      <x:c r="G447" s="23" t="str">
        <x:v>Actual</x:v>
      </x:c>
      <x:c r="H447" s="23" t="str">
        <x:v>EUR</x:v>
      </x:c>
    </x:row>
    <x:row r="448">
      <x:c r="A448" s="23" t="str">
        <x:v>2026-02</x:v>
      </x:c>
      <x:c r="B448" s="23" t="str">
        <x:v>2026-02-28</x:v>
      </x:c>
      <x:c r="C448" s="23" t="str">
        <x:v>1400</x:v>
      </x:c>
      <x:c r="D448" s="23" t="str">
        <x:v>Inmovilizado material neto</x:v>
      </x:c>
      <x:c r="E448" s="24" t="n">
        <x:v>8017165</x:v>
      </x:c>
      <x:c r="F448" s="23" t="str">
        <x:v>ERP simulado</x:v>
      </x:c>
      <x:c r="G448" s="23" t="str">
        <x:v>Actual</x:v>
      </x:c>
      <x:c r="H448" s="23" t="str">
        <x:v>EUR</x:v>
      </x:c>
    </x:row>
    <x:row r="449">
      <x:c r="A449" s="23" t="str">
        <x:v>2026-02</x:v>
      </x:c>
      <x:c r="B449" s="23" t="str">
        <x:v>2026-02-28</x:v>
      </x:c>
      <x:c r="C449" s="23" t="str">
        <x:v>1500</x:v>
      </x:c>
      <x:c r="D449" s="23" t="str">
        <x:v>Activos intangibles netos</x:v>
      </x:c>
      <x:c r="E449" s="24" t="n">
        <x:v>1144250</x:v>
      </x:c>
      <x:c r="F449" s="23" t="str">
        <x:v>ERP simulado</x:v>
      </x:c>
      <x:c r="G449" s="23" t="str">
        <x:v>Actual</x:v>
      </x:c>
      <x:c r="H449" s="23" t="str">
        <x:v>EUR</x:v>
      </x:c>
    </x:row>
    <x:row r="450">
      <x:c r="A450" s="23" t="str">
        <x:v>2026-02</x:v>
      </x:c>
      <x:c r="B450" s="23" t="str">
        <x:v>2026-02-28</x:v>
      </x:c>
      <x:c r="C450" s="23" t="str">
        <x:v>1600</x:v>
      </x:c>
      <x:c r="D450" s="23" t="str">
        <x:v>Otros activos no corrientes</x:v>
      </x:c>
      <x:c r="E450" s="24" t="n">
        <x:v>800000</x:v>
      </x:c>
      <x:c r="F450" s="23" t="str">
        <x:v>ERP simulado</x:v>
      </x:c>
      <x:c r="G450" s="23" t="str">
        <x:v>Actual</x:v>
      </x:c>
      <x:c r="H450" s="23" t="str">
        <x:v>EUR</x:v>
      </x:c>
    </x:row>
    <x:row r="451">
      <x:c r="A451" s="23" t="str">
        <x:v>2026-02</x:v>
      </x:c>
      <x:c r="B451" s="23" t="str">
        <x:v>2026-02-28</x:v>
      </x:c>
      <x:c r="C451" s="23" t="str">
        <x:v>2000</x:v>
      </x:c>
      <x:c r="D451" s="23" t="str">
        <x:v>Proveedores</x:v>
      </x:c>
      <x:c r="E451" s="24" t="n">
        <x:v>3220171</x:v>
      </x:c>
      <x:c r="F451" s="23" t="str">
        <x:v>ERP simulado</x:v>
      </x:c>
      <x:c r="G451" s="23" t="str">
        <x:v>Actual</x:v>
      </x:c>
      <x:c r="H451" s="23" t="str">
        <x:v>EUR</x:v>
      </x:c>
    </x:row>
    <x:row r="452">
      <x:c r="A452" s="23" t="str">
        <x:v>2026-02</x:v>
      </x:c>
      <x:c r="B452" s="23" t="str">
        <x:v>2026-02-28</x:v>
      </x:c>
      <x:c r="C452" s="23" t="str">
        <x:v>2100</x:v>
      </x:c>
      <x:c r="D452" s="23" t="str">
        <x:v>Acreedores y gastos devengados</x:v>
      </x:c>
      <x:c r="E452" s="24" t="n">
        <x:v>930465</x:v>
      </x:c>
      <x:c r="F452" s="23" t="str">
        <x:v>ERP simulado</x:v>
      </x:c>
      <x:c r="G452" s="23" t="str">
        <x:v>Actual</x:v>
      </x:c>
      <x:c r="H452" s="23" t="str">
        <x:v>EUR</x:v>
      </x:c>
    </x:row>
    <x:row r="453">
      <x:c r="A453" s="23" t="str">
        <x:v>2026-02</x:v>
      </x:c>
      <x:c r="B453" s="23" t="str">
        <x:v>2026-02-28</x:v>
      </x:c>
      <x:c r="C453" s="23" t="str">
        <x:v>2200</x:v>
      </x:c>
      <x:c r="D453" s="23" t="str">
        <x:v>Impuestos a pagar</x:v>
      </x:c>
      <x:c r="E453" s="24" t="n">
        <x:v>97579</x:v>
      </x:c>
      <x:c r="F453" s="23" t="str">
        <x:v>ERP simulado</x:v>
      </x:c>
      <x:c r="G453" s="23" t="str">
        <x:v>Actual</x:v>
      </x:c>
      <x:c r="H453" s="23" t="str">
        <x:v>EUR</x:v>
      </x:c>
    </x:row>
    <x:row r="454">
      <x:c r="A454" s="23" t="str">
        <x:v>2026-02</x:v>
      </x:c>
      <x:c r="B454" s="23" t="str">
        <x:v>2026-02-28</x:v>
      </x:c>
      <x:c r="C454" s="23" t="str">
        <x:v>2300</x:v>
      </x:c>
      <x:c r="D454" s="23" t="str">
        <x:v>Deuda financiera corriente</x:v>
      </x:c>
      <x:c r="E454" s="24" t="n">
        <x:v>1220000</x:v>
      </x:c>
      <x:c r="F454" s="23" t="str">
        <x:v>ERP simulado</x:v>
      </x:c>
      <x:c r="G454" s="23" t="str">
        <x:v>Actual</x:v>
      </x:c>
      <x:c r="H454" s="23" t="str">
        <x:v>EUR</x:v>
      </x:c>
    </x:row>
    <x:row r="455">
      <x:c r="A455" s="23" t="str">
        <x:v>2026-02</x:v>
      </x:c>
      <x:c r="B455" s="23" t="str">
        <x:v>2026-02-28</x:v>
      </x:c>
      <x:c r="C455" s="23" t="str">
        <x:v>2400</x:v>
      </x:c>
      <x:c r="D455" s="23" t="str">
        <x:v>Pasivos por arrendamiento corrientes</x:v>
      </x:c>
      <x:c r="E455" s="24" t="n">
        <x:v>105000</x:v>
      </x:c>
      <x:c r="F455" s="23" t="str">
        <x:v>ERP simulado</x:v>
      </x:c>
      <x:c r="G455" s="23" t="str">
        <x:v>Actual</x:v>
      </x:c>
      <x:c r="H455" s="23" t="str">
        <x:v>EUR</x:v>
      </x:c>
    </x:row>
    <x:row r="456">
      <x:c r="A456" s="23" t="str">
        <x:v>2026-02</x:v>
      </x:c>
      <x:c r="B456" s="23" t="str">
        <x:v>2026-02-28</x:v>
      </x:c>
      <x:c r="C456" s="23" t="str">
        <x:v>2500</x:v>
      </x:c>
      <x:c r="D456" s="23" t="str">
        <x:v>Deuda financiera no corriente</x:v>
      </x:c>
      <x:c r="E456" s="24" t="n">
        <x:v>4880000</x:v>
      </x:c>
      <x:c r="F456" s="23" t="str">
        <x:v>ERP simulado</x:v>
      </x:c>
      <x:c r="G456" s="23" t="str">
        <x:v>Actual</x:v>
      </x:c>
      <x:c r="H456" s="23" t="str">
        <x:v>EUR</x:v>
      </x:c>
    </x:row>
    <x:row r="457">
      <x:c r="A457" s="23" t="str">
        <x:v>2026-02</x:v>
      </x:c>
      <x:c r="B457" s="23" t="str">
        <x:v>2026-02-28</x:v>
      </x:c>
      <x:c r="C457" s="23" t="str">
        <x:v>2600</x:v>
      </x:c>
      <x:c r="D457" s="23" t="str">
        <x:v>Pasivos por arrendamiento no corrientes</x:v>
      </x:c>
      <x:c r="E457" s="24" t="n">
        <x:v>245000</x:v>
      </x:c>
      <x:c r="F457" s="23" t="str">
        <x:v>ERP simulado</x:v>
      </x:c>
      <x:c r="G457" s="23" t="str">
        <x:v>Actual</x:v>
      </x:c>
      <x:c r="H457" s="23" t="str">
        <x:v>EUR</x:v>
      </x:c>
    </x:row>
    <x:row r="458">
      <x:c r="A458" s="23" t="str">
        <x:v>2026-02</x:v>
      </x:c>
      <x:c r="B458" s="23" t="str">
        <x:v>2026-02-28</x:v>
      </x:c>
      <x:c r="C458" s="23" t="str">
        <x:v>2700</x:v>
      </x:c>
      <x:c r="D458" s="23" t="str">
        <x:v>Otros pasivos</x:v>
      </x:c>
      <x:c r="E458" s="24" t="n">
        <x:v>800000</x:v>
      </x:c>
      <x:c r="F458" s="23" t="str">
        <x:v>ERP simulado</x:v>
      </x:c>
      <x:c r="G458" s="23" t="str">
        <x:v>Actual</x:v>
      </x:c>
      <x:c r="H458" s="23" t="str">
        <x:v>EUR</x:v>
      </x:c>
    </x:row>
    <x:row r="459">
      <x:c r="A459" s="23" t="str">
        <x:v>2026-02</x:v>
      </x:c>
      <x:c r="B459" s="23" t="str">
        <x:v>2026-02-28</x:v>
      </x:c>
      <x:c r="C459" s="23" t="str">
        <x:v>3000</x:v>
      </x:c>
      <x:c r="D459" s="23" t="str">
        <x:v>Capital social</x:v>
      </x:c>
      <x:c r="E459" s="24" t="n">
        <x:v>5000000</x:v>
      </x:c>
      <x:c r="F459" s="23" t="str">
        <x:v>ERP simulado</x:v>
      </x:c>
      <x:c r="G459" s="23" t="str">
        <x:v>Actual</x:v>
      </x:c>
      <x:c r="H459" s="23" t="str">
        <x:v>EUR</x:v>
      </x:c>
    </x:row>
    <x:row r="460">
      <x:c r="A460" s="23" t="str">
        <x:v>2026-02</x:v>
      </x:c>
      <x:c r="B460" s="23" t="str">
        <x:v>2026-02-28</x:v>
      </x:c>
      <x:c r="C460" s="23" t="str">
        <x:v>3100</x:v>
      </x:c>
      <x:c r="D460" s="23" t="str">
        <x:v>Resultados acumulados</x:v>
      </x:c>
      <x:c r="E460" s="24" t="n">
        <x:v>10351918</x:v>
      </x:c>
      <x:c r="F460" s="23" t="str">
        <x:v>ERP simulado</x:v>
      </x:c>
      <x:c r="G460" s="23" t="str">
        <x:v>Actual</x:v>
      </x:c>
      <x:c r="H460" s="23" t="str">
        <x:v>EUR</x:v>
      </x:c>
    </x:row>
    <x:row r="461">
      <x:c r="A461" s="23" t="str">
        <x:v>2026-03</x:v>
      </x:c>
      <x:c r="B461" s="23" t="str">
        <x:v>2026-03-31</x:v>
      </x:c>
      <x:c r="C461" s="23" t="str">
        <x:v>1000</x:v>
      </x:c>
      <x:c r="D461" s="23" t="str">
        <x:v>Efectivo y equivalentes</x:v>
      </x:c>
      <x:c r="E461" s="24" t="n">
        <x:v>7607397</x:v>
      </x:c>
      <x:c r="F461" s="23" t="str">
        <x:v>ERP simulado</x:v>
      </x:c>
      <x:c r="G461" s="23" t="str">
        <x:v>Actual</x:v>
      </x:c>
      <x:c r="H461" s="23" t="str">
        <x:v>EUR</x:v>
      </x:c>
    </x:row>
    <x:row r="462">
      <x:c r="A462" s="23" t="str">
        <x:v>2026-03</x:v>
      </x:c>
      <x:c r="B462" s="23" t="str">
        <x:v>2026-03-31</x:v>
      </x:c>
      <x:c r="C462" s="23" t="str">
        <x:v>1100</x:v>
      </x:c>
      <x:c r="D462" s="23" t="str">
        <x:v>Clientes</x:v>
      </x:c>
      <x:c r="E462" s="24" t="n">
        <x:v>5756427</x:v>
      </x:c>
      <x:c r="F462" s="23" t="str">
        <x:v>ERP simulado</x:v>
      </x:c>
      <x:c r="G462" s="23" t="str">
        <x:v>Actual</x:v>
      </x:c>
      <x:c r="H462" s="23" t="str">
        <x:v>EUR</x:v>
      </x:c>
    </x:row>
    <x:row r="463">
      <x:c r="A463" s="23" t="str">
        <x:v>2026-03</x:v>
      </x:c>
      <x:c r="B463" s="23" t="str">
        <x:v>2026-03-31</x:v>
      </x:c>
      <x:c r="C463" s="23" t="str">
        <x:v>1200</x:v>
      </x:c>
      <x:c r="D463" s="23" t="str">
        <x:v>Existencias</x:v>
      </x:c>
      <x:c r="E463" s="24" t="n">
        <x:v>3261566</x:v>
      </x:c>
      <x:c r="F463" s="23" t="str">
        <x:v>ERP simulado</x:v>
      </x:c>
      <x:c r="G463" s="23" t="str">
        <x:v>Actual</x:v>
      </x:c>
      <x:c r="H463" s="23" t="str">
        <x:v>EUR</x:v>
      </x:c>
    </x:row>
    <x:row r="464">
      <x:c r="A464" s="23" t="str">
        <x:v>2026-03</x:v>
      </x:c>
      <x:c r="B464" s="23" t="str">
        <x:v>2026-03-31</x:v>
      </x:c>
      <x:c r="C464" s="23" t="str">
        <x:v>1300</x:v>
      </x:c>
      <x:c r="D464" s="23" t="str">
        <x:v>Pagos anticipados y otros activos corrientes</x:v>
      </x:c>
      <x:c r="E464" s="24" t="n">
        <x:v>728644</x:v>
      </x:c>
      <x:c r="F464" s="23" t="str">
        <x:v>ERP simulado</x:v>
      </x:c>
      <x:c r="G464" s="23" t="str">
        <x:v>Actual</x:v>
      </x:c>
      <x:c r="H464" s="23" t="str">
        <x:v>EUR</x:v>
      </x:c>
    </x:row>
    <x:row r="465">
      <x:c r="A465" s="23" t="str">
        <x:v>2026-03</x:v>
      </x:c>
      <x:c r="B465" s="23" t="str">
        <x:v>2026-03-31</x:v>
      </x:c>
      <x:c r="C465" s="23" t="str">
        <x:v>1400</x:v>
      </x:c>
      <x:c r="D465" s="23" t="str">
        <x:v>Inmovilizado material neto</x:v>
      </x:c>
      <x:c r="E465" s="24" t="n">
        <x:v>8004354</x:v>
      </x:c>
      <x:c r="F465" s="23" t="str">
        <x:v>ERP simulado</x:v>
      </x:c>
      <x:c r="G465" s="23" t="str">
        <x:v>Actual</x:v>
      </x:c>
      <x:c r="H465" s="23" t="str">
        <x:v>EUR</x:v>
      </x:c>
    </x:row>
    <x:row r="466">
      <x:c r="A466" s="23" t="str">
        <x:v>2026-03</x:v>
      </x:c>
      <x:c r="B466" s="23" t="str">
        <x:v>2026-03-31</x:v>
      </x:c>
      <x:c r="C466" s="23" t="str">
        <x:v>1500</x:v>
      </x:c>
      <x:c r="D466" s="23" t="str">
        <x:v>Activos intangibles netos</x:v>
      </x:c>
      <x:c r="E466" s="24" t="n">
        <x:v>1158150</x:v>
      </x:c>
      <x:c r="F466" s="23" t="str">
        <x:v>ERP simulado</x:v>
      </x:c>
      <x:c r="G466" s="23" t="str">
        <x:v>Actual</x:v>
      </x:c>
      <x:c r="H466" s="23" t="str">
        <x:v>EUR</x:v>
      </x:c>
    </x:row>
    <x:row r="467">
      <x:c r="A467" s="23" t="str">
        <x:v>2026-03</x:v>
      </x:c>
      <x:c r="B467" s="23" t="str">
        <x:v>2026-03-31</x:v>
      </x:c>
      <x:c r="C467" s="23" t="str">
        <x:v>1600</x:v>
      </x:c>
      <x:c r="D467" s="23" t="str">
        <x:v>Otros activos no corrientes</x:v>
      </x:c>
      <x:c r="E467" s="24" t="n">
        <x:v>800000</x:v>
      </x:c>
      <x:c r="F467" s="23" t="str">
        <x:v>ERP simulado</x:v>
      </x:c>
      <x:c r="G467" s="23" t="str">
        <x:v>Actual</x:v>
      </x:c>
      <x:c r="H467" s="23" t="str">
        <x:v>EUR</x:v>
      </x:c>
    </x:row>
    <x:row r="468">
      <x:c r="A468" s="23" t="str">
        <x:v>2026-03</x:v>
      </x:c>
      <x:c r="B468" s="23" t="str">
        <x:v>2026-03-31</x:v>
      </x:c>
      <x:c r="C468" s="23" t="str">
        <x:v>2000</x:v>
      </x:c>
      <x:c r="D468" s="23" t="str">
        <x:v>Proveedores</x:v>
      </x:c>
      <x:c r="E468" s="24" t="n">
        <x:v>3445946</x:v>
      </x:c>
      <x:c r="F468" s="23" t="str">
        <x:v>ERP simulado</x:v>
      </x:c>
      <x:c r="G468" s="23" t="str">
        <x:v>Actual</x:v>
      </x:c>
      <x:c r="H468" s="23" t="str">
        <x:v>EUR</x:v>
      </x:c>
    </x:row>
    <x:row r="469">
      <x:c r="A469" s="23" t="str">
        <x:v>2026-03</x:v>
      </x:c>
      <x:c r="B469" s="23" t="str">
        <x:v>2026-03-31</x:v>
      </x:c>
      <x:c r="C469" s="23" t="str">
        <x:v>2100</x:v>
      </x:c>
      <x:c r="D469" s="23" t="str">
        <x:v>Acreedores y gastos devengados</x:v>
      </x:c>
      <x:c r="E469" s="24" t="n">
        <x:v>1040920</x:v>
      </x:c>
      <x:c r="F469" s="23" t="str">
        <x:v>ERP simulado</x:v>
      </x:c>
      <x:c r="G469" s="23" t="str">
        <x:v>Actual</x:v>
      </x:c>
      <x:c r="H469" s="23" t="str">
        <x:v>EUR</x:v>
      </x:c>
    </x:row>
    <x:row r="470">
      <x:c r="A470" s="23" t="str">
        <x:v>2026-03</x:v>
      </x:c>
      <x:c r="B470" s="23" t="str">
        <x:v>2026-03-31</x:v>
      </x:c>
      <x:c r="C470" s="23" t="str">
        <x:v>2200</x:v>
      </x:c>
      <x:c r="D470" s="23" t="str">
        <x:v>Impuestos a pagar</x:v>
      </x:c>
      <x:c r="E470" s="24" t="n">
        <x:v>117234</x:v>
      </x:c>
      <x:c r="F470" s="23" t="str">
        <x:v>ERP simulado</x:v>
      </x:c>
      <x:c r="G470" s="23" t="str">
        <x:v>Actual</x:v>
      </x:c>
      <x:c r="H470" s="23" t="str">
        <x:v>EUR</x:v>
      </x:c>
    </x:row>
    <x:row r="471">
      <x:c r="A471" s="23" t="str">
        <x:v>2026-03</x:v>
      </x:c>
      <x:c r="B471" s="23" t="str">
        <x:v>2026-03-31</x:v>
      </x:c>
      <x:c r="C471" s="23" t="str">
        <x:v>2300</x:v>
      </x:c>
      <x:c r="D471" s="23" t="str">
        <x:v>Deuda financiera corriente</x:v>
      </x:c>
      <x:c r="E471" s="24" t="n">
        <x:v>1195000</x:v>
      </x:c>
      <x:c r="F471" s="23" t="str">
        <x:v>ERP simulado</x:v>
      </x:c>
      <x:c r="G471" s="23" t="str">
        <x:v>Actual</x:v>
      </x:c>
      <x:c r="H471" s="23" t="str">
        <x:v>EUR</x:v>
      </x:c>
    </x:row>
    <x:row r="472">
      <x:c r="A472" s="23" t="str">
        <x:v>2026-03</x:v>
      </x:c>
      <x:c r="B472" s="23" t="str">
        <x:v>2026-03-31</x:v>
      </x:c>
      <x:c r="C472" s="23" t="str">
        <x:v>2400</x:v>
      </x:c>
      <x:c r="D472" s="23" t="str">
        <x:v>Pasivos por arrendamiento corrientes</x:v>
      </x:c>
      <x:c r="E472" s="24" t="n">
        <x:v>97500</x:v>
      </x:c>
      <x:c r="F472" s="23" t="str">
        <x:v>ERP simulado</x:v>
      </x:c>
      <x:c r="G472" s="23" t="str">
        <x:v>Actual</x:v>
      </x:c>
      <x:c r="H472" s="23" t="str">
        <x:v>EUR</x:v>
      </x:c>
    </x:row>
    <x:row r="473">
      <x:c r="A473" s="23" t="str">
        <x:v>2026-03</x:v>
      </x:c>
      <x:c r="B473" s="23" t="str">
        <x:v>2026-03-31</x:v>
      </x:c>
      <x:c r="C473" s="23" t="str">
        <x:v>2500</x:v>
      </x:c>
      <x:c r="D473" s="23" t="str">
        <x:v>Deuda financiera no corriente</x:v>
      </x:c>
      <x:c r="E473" s="24" t="n">
        <x:v>4780000</x:v>
      </x:c>
      <x:c r="F473" s="23" t="str">
        <x:v>ERP simulado</x:v>
      </x:c>
      <x:c r="G473" s="23" t="str">
        <x:v>Actual</x:v>
      </x:c>
      <x:c r="H473" s="23" t="str">
        <x:v>EUR</x:v>
      </x:c>
    </x:row>
    <x:row r="474">
      <x:c r="A474" s="23" t="str">
        <x:v>2026-03</x:v>
      </x:c>
      <x:c r="B474" s="23" t="str">
        <x:v>2026-03-31</x:v>
      </x:c>
      <x:c r="C474" s="23" t="str">
        <x:v>2600</x:v>
      </x:c>
      <x:c r="D474" s="23" t="str">
        <x:v>Pasivos por arrendamiento no corrientes</x:v>
      </x:c>
      <x:c r="E474" s="24" t="n">
        <x:v>227500</x:v>
      </x:c>
      <x:c r="F474" s="23" t="str">
        <x:v>ERP simulado</x:v>
      </x:c>
      <x:c r="G474" s="23" t="str">
        <x:v>Actual</x:v>
      </x:c>
      <x:c r="H474" s="23" t="str">
        <x:v>EUR</x:v>
      </x:c>
    </x:row>
    <x:row r="475">
      <x:c r="A475" s="23" t="str">
        <x:v>2026-03</x:v>
      </x:c>
      <x:c r="B475" s="23" t="str">
        <x:v>2026-03-31</x:v>
      </x:c>
      <x:c r="C475" s="23" t="str">
        <x:v>2700</x:v>
      </x:c>
      <x:c r="D475" s="23" t="str">
        <x:v>Otros pasivos</x:v>
      </x:c>
      <x:c r="E475" s="24" t="n">
        <x:v>800000</x:v>
      </x:c>
      <x:c r="F475" s="23" t="str">
        <x:v>ERP simulado</x:v>
      </x:c>
      <x:c r="G475" s="23" t="str">
        <x:v>Actual</x:v>
      </x:c>
      <x:c r="H475" s="23" t="str">
        <x:v>EUR</x:v>
      </x:c>
    </x:row>
    <x:row r="476">
      <x:c r="A476" s="23" t="str">
        <x:v>2026-03</x:v>
      </x:c>
      <x:c r="B476" s="23" t="str">
        <x:v>2026-03-31</x:v>
      </x:c>
      <x:c r="C476" s="23" t="str">
        <x:v>3000</x:v>
      </x:c>
      <x:c r="D476" s="23" t="str">
        <x:v>Capital social</x:v>
      </x:c>
      <x:c r="E476" s="24" t="n">
        <x:v>5000000</x:v>
      </x:c>
      <x:c r="F476" s="23" t="str">
        <x:v>ERP simulado</x:v>
      </x:c>
      <x:c r="G476" s="23" t="str">
        <x:v>Actual</x:v>
      </x:c>
      <x:c r="H476" s="23" t="str">
        <x:v>EUR</x:v>
      </x:c>
    </x:row>
    <x:row r="477">
      <x:c r="A477" s="23" t="str">
        <x:v>2026-03</x:v>
      </x:c>
      <x:c r="B477" s="23" t="str">
        <x:v>2026-03-31</x:v>
      </x:c>
      <x:c r="C477" s="23" t="str">
        <x:v>3100</x:v>
      </x:c>
      <x:c r="D477" s="23" t="str">
        <x:v>Resultados acumulados</x:v>
      </x:c>
      <x:c r="E477" s="24" t="n">
        <x:v>10612438</x:v>
      </x:c>
      <x:c r="F477" s="23" t="str">
        <x:v>ERP simulado</x:v>
      </x:c>
      <x:c r="G477" s="23" t="str">
        <x:v>Actual</x:v>
      </x:c>
      <x:c r="H477" s="23" t="str">
        <x:v>EUR</x:v>
      </x:c>
    </x:row>
    <x:row r="478">
      <x:c r="A478" s="23" t="str">
        <x:v>2026-04</x:v>
      </x:c>
      <x:c r="B478" s="23" t="str">
        <x:v>2026-04-30</x:v>
      </x:c>
      <x:c r="C478" s="23" t="str">
        <x:v>1000</x:v>
      </x:c>
      <x:c r="D478" s="23" t="str">
        <x:v>Efectivo y equivalentes</x:v>
      </x:c>
      <x:c r="E478" s="24" t="n">
        <x:v>7713802</x:v>
      </x:c>
      <x:c r="F478" s="23" t="str">
        <x:v>ERP simulado</x:v>
      </x:c>
      <x:c r="G478" s="23" t="str">
        <x:v>Actual</x:v>
      </x:c>
      <x:c r="H478" s="23" t="str">
        <x:v>EUR</x:v>
      </x:c>
    </x:row>
    <x:row r="479">
      <x:c r="A479" s="23" t="str">
        <x:v>2026-04</x:v>
      </x:c>
      <x:c r="B479" s="23" t="str">
        <x:v>2026-04-30</x:v>
      </x:c>
      <x:c r="C479" s="23" t="str">
        <x:v>1100</x:v>
      </x:c>
      <x:c r="D479" s="23" t="str">
        <x:v>Clientes</x:v>
      </x:c>
      <x:c r="E479" s="24" t="n">
        <x:v>5913129</x:v>
      </x:c>
      <x:c r="F479" s="23" t="str">
        <x:v>ERP simulado</x:v>
      </x:c>
      <x:c r="G479" s="23" t="str">
        <x:v>Actual</x:v>
      </x:c>
      <x:c r="H479" s="23" t="str">
        <x:v>EUR</x:v>
      </x:c>
    </x:row>
    <x:row r="480">
      <x:c r="A480" s="23" t="str">
        <x:v>2026-04</x:v>
      </x:c>
      <x:c r="B480" s="23" t="str">
        <x:v>2026-04-30</x:v>
      </x:c>
      <x:c r="C480" s="23" t="str">
        <x:v>1200</x:v>
      </x:c>
      <x:c r="D480" s="23" t="str">
        <x:v>Existencias</x:v>
      </x:c>
      <x:c r="E480" s="24" t="n">
        <x:v>3287353</x:v>
      </x:c>
      <x:c r="F480" s="23" t="str">
        <x:v>ERP simulado</x:v>
      </x:c>
      <x:c r="G480" s="23" t="str">
        <x:v>Actual</x:v>
      </x:c>
      <x:c r="H480" s="23" t="str">
        <x:v>EUR</x:v>
      </x:c>
    </x:row>
    <x:row r="481">
      <x:c r="A481" s="23" t="str">
        <x:v>2026-04</x:v>
      </x:c>
      <x:c r="B481" s="23" t="str">
        <x:v>2026-04-30</x:v>
      </x:c>
      <x:c r="C481" s="23" t="str">
        <x:v>1300</x:v>
      </x:c>
      <x:c r="D481" s="23" t="str">
        <x:v>Pagos anticipados y otros activos corrientes</x:v>
      </x:c>
      <x:c r="E481" s="24" t="n">
        <x:v>717777</x:v>
      </x:c>
      <x:c r="F481" s="23" t="str">
        <x:v>ERP simulado</x:v>
      </x:c>
      <x:c r="G481" s="23" t="str">
        <x:v>Actual</x:v>
      </x:c>
      <x:c r="H481" s="23" t="str">
        <x:v>EUR</x:v>
      </x:c>
    </x:row>
    <x:row r="482">
      <x:c r="A482" s="23" t="str">
        <x:v>2026-04</x:v>
      </x:c>
      <x:c r="B482" s="23" t="str">
        <x:v>2026-04-30</x:v>
      </x:c>
      <x:c r="C482" s="23" t="str">
        <x:v>1400</x:v>
      </x:c>
      <x:c r="D482" s="23" t="str">
        <x:v>Inmovilizado material neto</x:v>
      </x:c>
      <x:c r="E482" s="24" t="n">
        <x:v>7982157</x:v>
      </x:c>
      <x:c r="F482" s="23" t="str">
        <x:v>ERP simulado</x:v>
      </x:c>
      <x:c r="G482" s="23" t="str">
        <x:v>Actual</x:v>
      </x:c>
      <x:c r="H482" s="23" t="str">
        <x:v>EUR</x:v>
      </x:c>
    </x:row>
    <x:row r="483">
      <x:c r="A483" s="23" t="str">
        <x:v>2026-04</x:v>
      </x:c>
      <x:c r="B483" s="23" t="str">
        <x:v>2026-04-30</x:v>
      </x:c>
      <x:c r="C483" s="23" t="str">
        <x:v>1500</x:v>
      </x:c>
      <x:c r="D483" s="23" t="str">
        <x:v>Activos intangibles netos</x:v>
      </x:c>
      <x:c r="E483" s="24" t="n">
        <x:v>1141700</x:v>
      </x:c>
      <x:c r="F483" s="23" t="str">
        <x:v>ERP simulado</x:v>
      </x:c>
      <x:c r="G483" s="23" t="str">
        <x:v>Actual</x:v>
      </x:c>
      <x:c r="H483" s="23" t="str">
        <x:v>EUR</x:v>
      </x:c>
    </x:row>
    <x:row r="484">
      <x:c r="A484" s="23" t="str">
        <x:v>2026-04</x:v>
      </x:c>
      <x:c r="B484" s="23" t="str">
        <x:v>2026-04-30</x:v>
      </x:c>
      <x:c r="C484" s="23" t="str">
        <x:v>1600</x:v>
      </x:c>
      <x:c r="D484" s="23" t="str">
        <x:v>Otros activos no corrientes</x:v>
      </x:c>
      <x:c r="E484" s="24" t="n">
        <x:v>800000</x:v>
      </x:c>
      <x:c r="F484" s="23" t="str">
        <x:v>ERP simulado</x:v>
      </x:c>
      <x:c r="G484" s="23" t="str">
        <x:v>Actual</x:v>
      </x:c>
      <x:c r="H484" s="23" t="str">
        <x:v>EUR</x:v>
      </x:c>
    </x:row>
    <x:row r="485">
      <x:c r="A485" s="23" t="str">
        <x:v>2026-04</x:v>
      </x:c>
      <x:c r="B485" s="23" t="str">
        <x:v>2026-04-30</x:v>
      </x:c>
      <x:c r="C485" s="23" t="str">
        <x:v>2000</x:v>
      </x:c>
      <x:c r="D485" s="23" t="str">
        <x:v>Proveedores</x:v>
      </x:c>
      <x:c r="E485" s="24" t="n">
        <x:v>3431263</x:v>
      </x:c>
      <x:c r="F485" s="23" t="str">
        <x:v>ERP simulado</x:v>
      </x:c>
      <x:c r="G485" s="23" t="str">
        <x:v>Actual</x:v>
      </x:c>
      <x:c r="H485" s="23" t="str">
        <x:v>EUR</x:v>
      </x:c>
    </x:row>
    <x:row r="486">
      <x:c r="A486" s="23" t="str">
        <x:v>2026-04</x:v>
      </x:c>
      <x:c r="B486" s="23" t="str">
        <x:v>2026-04-30</x:v>
      </x:c>
      <x:c r="C486" s="23" t="str">
        <x:v>2100</x:v>
      </x:c>
      <x:c r="D486" s="23" t="str">
        <x:v>Acreedores y gastos devengados</x:v>
      </x:c>
      <x:c r="E486" s="24" t="n">
        <x:v>1025396</x:v>
      </x:c>
      <x:c r="F486" s="23" t="str">
        <x:v>ERP simulado</x:v>
      </x:c>
      <x:c r="G486" s="23" t="str">
        <x:v>Actual</x:v>
      </x:c>
      <x:c r="H486" s="23" t="str">
        <x:v>EUR</x:v>
      </x:c>
    </x:row>
    <x:row r="487">
      <x:c r="A487" s="23" t="str">
        <x:v>2026-04</x:v>
      </x:c>
      <x:c r="B487" s="23" t="str">
        <x:v>2026-04-30</x:v>
      </x:c>
      <x:c r="C487" s="23" t="str">
        <x:v>2200</x:v>
      </x:c>
      <x:c r="D487" s="23" t="str">
        <x:v>Impuestos a pagar</x:v>
      </x:c>
      <x:c r="E487" s="24" t="n">
        <x:v>127807</x:v>
      </x:c>
      <x:c r="F487" s="23" t="str">
        <x:v>ERP simulado</x:v>
      </x:c>
      <x:c r="G487" s="23" t="str">
        <x:v>Actual</x:v>
      </x:c>
      <x:c r="H487" s="23" t="str">
        <x:v>EUR</x:v>
      </x:c>
    </x:row>
    <x:row r="488">
      <x:c r="A488" s="23" t="str">
        <x:v>2026-04</x:v>
      </x:c>
      <x:c r="B488" s="23" t="str">
        <x:v>2026-04-30</x:v>
      </x:c>
      <x:c r="C488" s="23" t="str">
        <x:v>2300</x:v>
      </x:c>
      <x:c r="D488" s="23" t="str">
        <x:v>Deuda financiera corriente</x:v>
      </x:c>
      <x:c r="E488" s="24" t="n">
        <x:v>1195000</x:v>
      </x:c>
      <x:c r="F488" s="23" t="str">
        <x:v>ERP simulado</x:v>
      </x:c>
      <x:c r="G488" s="23" t="str">
        <x:v>Actual</x:v>
      </x:c>
      <x:c r="H488" s="23" t="str">
        <x:v>EUR</x:v>
      </x:c>
    </x:row>
    <x:row r="489">
      <x:c r="A489" s="23" t="str">
        <x:v>2026-04</x:v>
      </x:c>
      <x:c r="B489" s="23" t="str">
        <x:v>2026-04-30</x:v>
      </x:c>
      <x:c r="C489" s="23" t="str">
        <x:v>2400</x:v>
      </x:c>
      <x:c r="D489" s="23" t="str">
        <x:v>Pasivos por arrendamiento corrientes</x:v>
      </x:c>
      <x:c r="E489" s="24" t="n">
        <x:v>90000</x:v>
      </x:c>
      <x:c r="F489" s="23" t="str">
        <x:v>ERP simulado</x:v>
      </x:c>
      <x:c r="G489" s="23" t="str">
        <x:v>Actual</x:v>
      </x:c>
      <x:c r="H489" s="23" t="str">
        <x:v>EUR</x:v>
      </x:c>
    </x:row>
    <x:row r="490">
      <x:c r="A490" s="23" t="str">
        <x:v>2026-04</x:v>
      </x:c>
      <x:c r="B490" s="23" t="str">
        <x:v>2026-04-30</x:v>
      </x:c>
      <x:c r="C490" s="23" t="str">
        <x:v>2500</x:v>
      </x:c>
      <x:c r="D490" s="23" t="str">
        <x:v>Deuda financiera no corriente</x:v>
      </x:c>
      <x:c r="E490" s="24" t="n">
        <x:v>4780000</x:v>
      </x:c>
      <x:c r="F490" s="23" t="str">
        <x:v>ERP simulado</x:v>
      </x:c>
      <x:c r="G490" s="23" t="str">
        <x:v>Actual</x:v>
      </x:c>
      <x:c r="H490" s="23" t="str">
        <x:v>EUR</x:v>
      </x:c>
    </x:row>
    <x:row r="491">
      <x:c r="A491" s="23" t="str">
        <x:v>2026-04</x:v>
      </x:c>
      <x:c r="B491" s="23" t="str">
        <x:v>2026-04-30</x:v>
      </x:c>
      <x:c r="C491" s="23" t="str">
        <x:v>2600</x:v>
      </x:c>
      <x:c r="D491" s="23" t="str">
        <x:v>Pasivos por arrendamiento no corrientes</x:v>
      </x:c>
      <x:c r="E491" s="24" t="n">
        <x:v>210000</x:v>
      </x:c>
      <x:c r="F491" s="23" t="str">
        <x:v>ERP simulado</x:v>
      </x:c>
      <x:c r="G491" s="23" t="str">
        <x:v>Actual</x:v>
      </x:c>
      <x:c r="H491" s="23" t="str">
        <x:v>EUR</x:v>
      </x:c>
    </x:row>
    <x:row r="492">
      <x:c r="A492" s="23" t="str">
        <x:v>2026-04</x:v>
      </x:c>
      <x:c r="B492" s="23" t="str">
        <x:v>2026-04-30</x:v>
      </x:c>
      <x:c r="C492" s="23" t="str">
        <x:v>2700</x:v>
      </x:c>
      <x:c r="D492" s="23" t="str">
        <x:v>Otros pasivos</x:v>
      </x:c>
      <x:c r="E492" s="24" t="n">
        <x:v>800000</x:v>
      </x:c>
      <x:c r="F492" s="23" t="str">
        <x:v>ERP simulado</x:v>
      </x:c>
      <x:c r="G492" s="23" t="str">
        <x:v>Actual</x:v>
      </x:c>
      <x:c r="H492" s="23" t="str">
        <x:v>EUR</x:v>
      </x:c>
    </x:row>
    <x:row r="493">
      <x:c r="A493" s="23" t="str">
        <x:v>2026-04</x:v>
      </x:c>
      <x:c r="B493" s="23" t="str">
        <x:v>2026-04-30</x:v>
      </x:c>
      <x:c r="C493" s="23" t="str">
        <x:v>3000</x:v>
      </x:c>
      <x:c r="D493" s="23" t="str">
        <x:v>Capital social</x:v>
      </x:c>
      <x:c r="E493" s="24" t="n">
        <x:v>5000000</x:v>
      </x:c>
      <x:c r="F493" s="23" t="str">
        <x:v>ERP simulado</x:v>
      </x:c>
      <x:c r="G493" s="23" t="str">
        <x:v>Actual</x:v>
      </x:c>
      <x:c r="H493" s="23" t="str">
        <x:v>EUR</x:v>
      </x:c>
    </x:row>
    <x:row r="494">
      <x:c r="A494" s="23" t="str">
        <x:v>2026-04</x:v>
      </x:c>
      <x:c r="B494" s="23" t="str">
        <x:v>2026-04-30</x:v>
      </x:c>
      <x:c r="C494" s="23" t="str">
        <x:v>3100</x:v>
      </x:c>
      <x:c r="D494" s="23" t="str">
        <x:v>Resultados acumulados</x:v>
      </x:c>
      <x:c r="E494" s="24" t="n">
        <x:v>10896452</x:v>
      </x:c>
      <x:c r="F494" s="23" t="str">
        <x:v>ERP simulado</x:v>
      </x:c>
      <x:c r="G494" s="23" t="str">
        <x:v>Actual</x:v>
      </x:c>
      <x:c r="H494" s="23" t="str">
        <x:v>EUR</x:v>
      </x:c>
    </x:row>
    <x:row r="495">
      <x:c r="A495" s="23" t="str">
        <x:v>2026-05</x:v>
      </x:c>
      <x:c r="B495" s="23" t="str">
        <x:v>2026-05-31</x:v>
      </x:c>
      <x:c r="C495" s="23" t="str">
        <x:v>1000</x:v>
      </x:c>
      <x:c r="D495" s="23" t="str">
        <x:v>Efectivo y equivalentes</x:v>
      </x:c>
      <x:c r="E495" s="24" t="n">
        <x:v>7914185</x:v>
      </x:c>
      <x:c r="F495" s="23" t="str">
        <x:v>ERP simulado</x:v>
      </x:c>
      <x:c r="G495" s="23" t="str">
        <x:v>Actual</x:v>
      </x:c>
      <x:c r="H495" s="23" t="str">
        <x:v>EUR</x:v>
      </x:c>
    </x:row>
    <x:row r="496">
      <x:c r="A496" s="23" t="str">
        <x:v>2026-05</x:v>
      </x:c>
      <x:c r="B496" s="23" t="str">
        <x:v>2026-05-31</x:v>
      </x:c>
      <x:c r="C496" s="23" t="str">
        <x:v>1100</x:v>
      </x:c>
      <x:c r="D496" s="23" t="str">
        <x:v>Clientes</x:v>
      </x:c>
      <x:c r="E496" s="24" t="n">
        <x:v>6034445</x:v>
      </x:c>
      <x:c r="F496" s="23" t="str">
        <x:v>ERP simulado</x:v>
      </x:c>
      <x:c r="G496" s="23" t="str">
        <x:v>Actual</x:v>
      </x:c>
      <x:c r="H496" s="23" t="str">
        <x:v>EUR</x:v>
      </x:c>
    </x:row>
    <x:row r="497">
      <x:c r="A497" s="23" t="str">
        <x:v>2026-05</x:v>
      </x:c>
      <x:c r="B497" s="23" t="str">
        <x:v>2026-05-31</x:v>
      </x:c>
      <x:c r="C497" s="23" t="str">
        <x:v>1200</x:v>
      </x:c>
      <x:c r="D497" s="23" t="str">
        <x:v>Existencias</x:v>
      </x:c>
      <x:c r="E497" s="24" t="n">
        <x:v>3357019</x:v>
      </x:c>
      <x:c r="F497" s="23" t="str">
        <x:v>ERP simulado</x:v>
      </x:c>
      <x:c r="G497" s="23" t="str">
        <x:v>Actual</x:v>
      </x:c>
      <x:c r="H497" s="23" t="str">
        <x:v>EUR</x:v>
      </x:c>
    </x:row>
    <x:row r="498">
      <x:c r="A498" s="23" t="str">
        <x:v>2026-05</x:v>
      </x:c>
      <x:c r="B498" s="23" t="str">
        <x:v>2026-05-31</x:v>
      </x:c>
      <x:c r="C498" s="23" t="str">
        <x:v>1300</x:v>
      </x:c>
      <x:c r="D498" s="23" t="str">
        <x:v>Pagos anticipados y otros activos corrientes</x:v>
      </x:c>
      <x:c r="E498" s="24" t="n">
        <x:v>750932</x:v>
      </x:c>
      <x:c r="F498" s="23" t="str">
        <x:v>ERP simulado</x:v>
      </x:c>
      <x:c r="G498" s="23" t="str">
        <x:v>Actual</x:v>
      </x:c>
      <x:c r="H498" s="23" t="str">
        <x:v>EUR</x:v>
      </x:c>
    </x:row>
    <x:row r="499">
      <x:c r="A499" s="23" t="str">
        <x:v>2026-05</x:v>
      </x:c>
      <x:c r="B499" s="23" t="str">
        <x:v>2026-05-31</x:v>
      </x:c>
      <x:c r="C499" s="23" t="str">
        <x:v>1400</x:v>
      </x:c>
      <x:c r="D499" s="23" t="str">
        <x:v>Inmovilizado material neto</x:v>
      </x:c>
      <x:c r="E499" s="24" t="n">
        <x:v>7949440</x:v>
      </x:c>
      <x:c r="F499" s="23" t="str">
        <x:v>ERP simulado</x:v>
      </x:c>
      <x:c r="G499" s="23" t="str">
        <x:v>Actual</x:v>
      </x:c>
      <x:c r="H499" s="23" t="str">
        <x:v>EUR</x:v>
      </x:c>
    </x:row>
    <x:row r="500">
      <x:c r="A500" s="23" t="str">
        <x:v>2026-05</x:v>
      </x:c>
      <x:c r="B500" s="23" t="str">
        <x:v>2026-05-31</x:v>
      </x:c>
      <x:c r="C500" s="23" t="str">
        <x:v>1500</x:v>
      </x:c>
      <x:c r="D500" s="23" t="str">
        <x:v>Activos intangibles netos</x:v>
      </x:c>
      <x:c r="E500" s="24" t="n">
        <x:v>1124900</x:v>
      </x:c>
      <x:c r="F500" s="23" t="str">
        <x:v>ERP simulado</x:v>
      </x:c>
      <x:c r="G500" s="23" t="str">
        <x:v>Actual</x:v>
      </x:c>
      <x:c r="H500" s="23" t="str">
        <x:v>EUR</x:v>
      </x:c>
    </x:row>
    <x:row r="501">
      <x:c r="A501" s="23" t="str">
        <x:v>2026-05</x:v>
      </x:c>
      <x:c r="B501" s="23" t="str">
        <x:v>2026-05-31</x:v>
      </x:c>
      <x:c r="C501" s="23" t="str">
        <x:v>1600</x:v>
      </x:c>
      <x:c r="D501" s="23" t="str">
        <x:v>Otros activos no corrientes</x:v>
      </x:c>
      <x:c r="E501" s="24" t="n">
        <x:v>800000</x:v>
      </x:c>
      <x:c r="F501" s="23" t="str">
        <x:v>ERP simulado</x:v>
      </x:c>
      <x:c r="G501" s="23" t="str">
        <x:v>Actual</x:v>
      </x:c>
      <x:c r="H501" s="23" t="str">
        <x:v>EUR</x:v>
      </x:c>
    </x:row>
    <x:row r="502">
      <x:c r="A502" s="23" t="str">
        <x:v>2026-05</x:v>
      </x:c>
      <x:c r="B502" s="23" t="str">
        <x:v>2026-05-31</x:v>
      </x:c>
      <x:c r="C502" s="23" t="str">
        <x:v>2000</x:v>
      </x:c>
      <x:c r="D502" s="23" t="str">
        <x:v>Proveedores</x:v>
      </x:c>
      <x:c r="E502" s="24" t="n">
        <x:v>3471041</x:v>
      </x:c>
      <x:c r="F502" s="23" t="str">
        <x:v>ERP simulado</x:v>
      </x:c>
      <x:c r="G502" s="23" t="str">
        <x:v>Actual</x:v>
      </x:c>
      <x:c r="H502" s="23" t="str">
        <x:v>EUR</x:v>
      </x:c>
    </x:row>
    <x:row r="503">
      <x:c r="A503" s="23" t="str">
        <x:v>2026-05</x:v>
      </x:c>
      <x:c r="B503" s="23" t="str">
        <x:v>2026-05-31</x:v>
      </x:c>
      <x:c r="C503" s="23" t="str">
        <x:v>2100</x:v>
      </x:c>
      <x:c r="D503" s="23" t="str">
        <x:v>Acreedores y gastos devengados</x:v>
      </x:c>
      <x:c r="E503" s="24" t="n">
        <x:v>1072760</x:v>
      </x:c>
      <x:c r="F503" s="23" t="str">
        <x:v>ERP simulado</x:v>
      </x:c>
      <x:c r="G503" s="23" t="str">
        <x:v>Actual</x:v>
      </x:c>
      <x:c r="H503" s="23" t="str">
        <x:v>EUR</x:v>
      </x:c>
    </x:row>
    <x:row r="504">
      <x:c r="A504" s="23" t="str">
        <x:v>2026-05</x:v>
      </x:c>
      <x:c r="B504" s="23" t="str">
        <x:v>2026-05-31</x:v>
      </x:c>
      <x:c r="C504" s="23" t="str">
        <x:v>2200</x:v>
      </x:c>
      <x:c r="D504" s="23" t="str">
        <x:v>Impuestos a pagar</x:v>
      </x:c>
      <x:c r="E504" s="24" t="n">
        <x:v>136759</x:v>
      </x:c>
      <x:c r="F504" s="23" t="str">
        <x:v>ERP simulado</x:v>
      </x:c>
      <x:c r="G504" s="23" t="str">
        <x:v>Actual</x:v>
      </x:c>
      <x:c r="H504" s="23" t="str">
        <x:v>EUR</x:v>
      </x:c>
    </x:row>
    <x:row r="505">
      <x:c r="A505" s="23" t="str">
        <x:v>2026-05</x:v>
      </x:c>
      <x:c r="B505" s="23" t="str">
        <x:v>2026-05-31</x:v>
      </x:c>
      <x:c r="C505" s="23" t="str">
        <x:v>2300</x:v>
      </x:c>
      <x:c r="D505" s="23" t="str">
        <x:v>Deuda financiera corriente</x:v>
      </x:c>
      <x:c r="E505" s="24" t="n">
        <x:v>1195000</x:v>
      </x:c>
      <x:c r="F505" s="23" t="str">
        <x:v>ERP simulado</x:v>
      </x:c>
      <x:c r="G505" s="23" t="str">
        <x:v>Actual</x:v>
      </x:c>
      <x:c r="H505" s="23" t="str">
        <x:v>EUR</x:v>
      </x:c>
    </x:row>
    <x:row r="506">
      <x:c r="A506" s="23" t="str">
        <x:v>2026-05</x:v>
      </x:c>
      <x:c r="B506" s="23" t="str">
        <x:v>2026-05-31</x:v>
      </x:c>
      <x:c r="C506" s="23" t="str">
        <x:v>2400</x:v>
      </x:c>
      <x:c r="D506" s="23" t="str">
        <x:v>Pasivos por arrendamiento corrientes</x:v>
      </x:c>
      <x:c r="E506" s="24" t="n">
        <x:v>82500</x:v>
      </x:c>
      <x:c r="F506" s="23" t="str">
        <x:v>ERP simulado</x:v>
      </x:c>
      <x:c r="G506" s="23" t="str">
        <x:v>Actual</x:v>
      </x:c>
      <x:c r="H506" s="23" t="str">
        <x:v>EUR</x:v>
      </x:c>
    </x:row>
    <x:row r="507">
      <x:c r="A507" s="23" t="str">
        <x:v>2026-05</x:v>
      </x:c>
      <x:c r="B507" s="23" t="str">
        <x:v>2026-05-31</x:v>
      </x:c>
      <x:c r="C507" s="23" t="str">
        <x:v>2500</x:v>
      </x:c>
      <x:c r="D507" s="23" t="str">
        <x:v>Deuda financiera no corriente</x:v>
      </x:c>
      <x:c r="E507" s="24" t="n">
        <x:v>4780000</x:v>
      </x:c>
      <x:c r="F507" s="23" t="str">
        <x:v>ERP simulado</x:v>
      </x:c>
      <x:c r="G507" s="23" t="str">
        <x:v>Actual</x:v>
      </x:c>
      <x:c r="H507" s="23" t="str">
        <x:v>EUR</x:v>
      </x:c>
    </x:row>
    <x:row r="508">
      <x:c r="A508" s="23" t="str">
        <x:v>2026-05</x:v>
      </x:c>
      <x:c r="B508" s="23" t="str">
        <x:v>2026-05-31</x:v>
      </x:c>
      <x:c r="C508" s="23" t="str">
        <x:v>2600</x:v>
      </x:c>
      <x:c r="D508" s="23" t="str">
        <x:v>Pasivos por arrendamiento no corrientes</x:v>
      </x:c>
      <x:c r="E508" s="24" t="n">
        <x:v>192500</x:v>
      </x:c>
      <x:c r="F508" s="23" t="str">
        <x:v>ERP simulado</x:v>
      </x:c>
      <x:c r="G508" s="23" t="str">
        <x:v>Actual</x:v>
      </x:c>
      <x:c r="H508" s="23" t="str">
        <x:v>EUR</x:v>
      </x:c>
    </x:row>
    <x:row r="509">
      <x:c r="A509" s="23" t="str">
        <x:v>2026-05</x:v>
      </x:c>
      <x:c r="B509" s="23" t="str">
        <x:v>2026-05-31</x:v>
      </x:c>
      <x:c r="C509" s="23" t="str">
        <x:v>2700</x:v>
      </x:c>
      <x:c r="D509" s="23" t="str">
        <x:v>Otros pasivos</x:v>
      </x:c>
      <x:c r="E509" s="24" t="n">
        <x:v>800000</x:v>
      </x:c>
      <x:c r="F509" s="23" t="str">
        <x:v>ERP simulado</x:v>
      </x:c>
      <x:c r="G509" s="23" t="str">
        <x:v>Actual</x:v>
      </x:c>
      <x:c r="H509" s="23" t="str">
        <x:v>EUR</x:v>
      </x:c>
    </x:row>
    <x:row r="510">
      <x:c r="A510" s="23" t="str">
        <x:v>2026-05</x:v>
      </x:c>
      <x:c r="B510" s="23" t="str">
        <x:v>2026-05-31</x:v>
      </x:c>
      <x:c r="C510" s="23" t="str">
        <x:v>3000</x:v>
      </x:c>
      <x:c r="D510" s="23" t="str">
        <x:v>Capital social</x:v>
      </x:c>
      <x:c r="E510" s="24" t="n">
        <x:v>5000000</x:v>
      </x:c>
      <x:c r="F510" s="23" t="str">
        <x:v>ERP simulado</x:v>
      </x:c>
      <x:c r="G510" s="23" t="str">
        <x:v>Actual</x:v>
      </x:c>
      <x:c r="H510" s="23" t="str">
        <x:v>EUR</x:v>
      </x:c>
    </x:row>
    <x:row r="511">
      <x:c r="A511" s="23" t="str">
        <x:v>2026-05</x:v>
      </x:c>
      <x:c r="B511" s="23" t="str">
        <x:v>2026-05-31</x:v>
      </x:c>
      <x:c r="C511" s="23" t="str">
        <x:v>3100</x:v>
      </x:c>
      <x:c r="D511" s="23" t="str">
        <x:v>Resultados acumulados</x:v>
      </x:c>
      <x:c r="E511" s="24" t="n">
        <x:v>11200361</x:v>
      </x:c>
      <x:c r="F511" s="23" t="str">
        <x:v>ERP simulado</x:v>
      </x:c>
      <x:c r="G511" s="23" t="str">
        <x:v>Actual</x:v>
      </x:c>
      <x:c r="H511" s="23" t="str">
        <x:v>EUR</x:v>
      </x:c>
    </x:row>
    <x:row r="512">
      <x:c r="A512" s="23" t="str">
        <x:v>2026-06</x:v>
      </x:c>
      <x:c r="B512" s="23" t="str">
        <x:v>2026-06-30</x:v>
      </x:c>
      <x:c r="C512" s="23" t="str">
        <x:v>1000</x:v>
      </x:c>
      <x:c r="D512" s="23" t="str">
        <x:v>Efectivo y equivalentes</x:v>
      </x:c>
      <x:c r="E512" s="24" t="n">
        <x:v>7709828</x:v>
      </x:c>
      <x:c r="F512" s="23" t="str">
        <x:v>ERP simulado</x:v>
      </x:c>
      <x:c r="G512" s="23" t="str">
        <x:v>Actual</x:v>
      </x:c>
      <x:c r="H512" s="23" t="str">
        <x:v>EUR</x:v>
      </x:c>
    </x:row>
    <x:row r="513">
      <x:c r="A513" s="23" t="str">
        <x:v>2026-06</x:v>
      </x:c>
      <x:c r="B513" s="23" t="str">
        <x:v>2026-06-30</x:v>
      </x:c>
      <x:c r="C513" s="23" t="str">
        <x:v>1100</x:v>
      </x:c>
      <x:c r="D513" s="23" t="str">
        <x:v>Clientes</x:v>
      </x:c>
      <x:c r="E513" s="24" t="n">
        <x:v>6431099</x:v>
      </x:c>
      <x:c r="F513" s="23" t="str">
        <x:v>ERP simulado</x:v>
      </x:c>
      <x:c r="G513" s="23" t="str">
        <x:v>Actual</x:v>
      </x:c>
      <x:c r="H513" s="23" t="str">
        <x:v>EUR</x:v>
      </x:c>
    </x:row>
    <x:row r="514">
      <x:c r="A514" s="23" t="str">
        <x:v>2026-06</x:v>
      </x:c>
      <x:c r="B514" s="23" t="str">
        <x:v>2026-06-30</x:v>
      </x:c>
      <x:c r="C514" s="23" t="str">
        <x:v>1200</x:v>
      </x:c>
      <x:c r="D514" s="23" t="str">
        <x:v>Existencias</x:v>
      </x:c>
      <x:c r="E514" s="24" t="n">
        <x:v>3578879</x:v>
      </x:c>
      <x:c r="F514" s="23" t="str">
        <x:v>ERP simulado</x:v>
      </x:c>
      <x:c r="G514" s="23" t="str">
        <x:v>Actual</x:v>
      </x:c>
      <x:c r="H514" s="23" t="str">
        <x:v>EUR</x:v>
      </x:c>
    </x:row>
    <x:row r="515">
      <x:c r="A515" s="23" t="str">
        <x:v>2026-06</x:v>
      </x:c>
      <x:c r="B515" s="23" t="str">
        <x:v>2026-06-30</x:v>
      </x:c>
      <x:c r="C515" s="23" t="str">
        <x:v>1300</x:v>
      </x:c>
      <x:c r="D515" s="23" t="str">
        <x:v>Pagos anticipados y otros activos corrientes</x:v>
      </x:c>
      <x:c r="E515" s="24" t="n">
        <x:v>769589</x:v>
      </x:c>
      <x:c r="F515" s="23" t="str">
        <x:v>ERP simulado</x:v>
      </x:c>
      <x:c r="G515" s="23" t="str">
        <x:v>Actual</x:v>
      </x:c>
      <x:c r="H515" s="23" t="str">
        <x:v>EUR</x:v>
      </x:c>
    </x:row>
    <x:row r="516">
      <x:c r="A516" s="23" t="str">
        <x:v>2026-06</x:v>
      </x:c>
      <x:c r="B516" s="23" t="str">
        <x:v>2026-06-30</x:v>
      </x:c>
      <x:c r="C516" s="23" t="str">
        <x:v>1400</x:v>
      </x:c>
      <x:c r="D516" s="23" t="str">
        <x:v>Inmovilizado material neto</x:v>
      </x:c>
      <x:c r="E516" s="24" t="n">
        <x:v>7905952</x:v>
      </x:c>
      <x:c r="F516" s="23" t="str">
        <x:v>ERP simulado</x:v>
      </x:c>
      <x:c r="G516" s="23" t="str">
        <x:v>Actual</x:v>
      </x:c>
      <x:c r="H516" s="23" t="str">
        <x:v>EUR</x:v>
      </x:c>
    </x:row>
    <x:row r="517">
      <x:c r="A517" s="23" t="str">
        <x:v>2026-06</x:v>
      </x:c>
      <x:c r="B517" s="23" t="str">
        <x:v>2026-06-30</x:v>
      </x:c>
      <x:c r="C517" s="23" t="str">
        <x:v>1500</x:v>
      </x:c>
      <x:c r="D517" s="23" t="str">
        <x:v>Activos intangibles netos</x:v>
      </x:c>
      <x:c r="E517" s="24" t="n">
        <x:v>1137750</x:v>
      </x:c>
      <x:c r="F517" s="23" t="str">
        <x:v>ERP simulado</x:v>
      </x:c>
      <x:c r="G517" s="23" t="str">
        <x:v>Actual</x:v>
      </x:c>
      <x:c r="H517" s="23" t="str">
        <x:v>EUR</x:v>
      </x:c>
    </x:row>
    <x:row r="518">
      <x:c r="A518" s="23" t="str">
        <x:v>2026-06</x:v>
      </x:c>
      <x:c r="B518" s="23" t="str">
        <x:v>2026-06-30</x:v>
      </x:c>
      <x:c r="C518" s="23" t="str">
        <x:v>1600</x:v>
      </x:c>
      <x:c r="D518" s="23" t="str">
        <x:v>Otros activos no corrientes</x:v>
      </x:c>
      <x:c r="E518" s="24" t="n">
        <x:v>800000</x:v>
      </x:c>
      <x:c r="F518" s="23" t="str">
        <x:v>ERP simulado</x:v>
      </x:c>
      <x:c r="G518" s="23" t="str">
        <x:v>Actual</x:v>
      </x:c>
      <x:c r="H518" s="23" t="str">
        <x:v>EUR</x:v>
      </x:c>
    </x:row>
    <x:row r="519">
      <x:c r="A519" s="23" t="str">
        <x:v>2026-06</x:v>
      </x:c>
      <x:c r="B519" s="23" t="str">
        <x:v>2026-06-30</x:v>
      </x:c>
      <x:c r="C519" s="23" t="str">
        <x:v>2000</x:v>
      </x:c>
      <x:c r="D519" s="23" t="str">
        <x:v>Proveedores</x:v>
      </x:c>
      <x:c r="E519" s="24" t="n">
        <x:v>3676757</x:v>
      </x:c>
      <x:c r="F519" s="23" t="str">
        <x:v>ERP simulado</x:v>
      </x:c>
      <x:c r="G519" s="23" t="str">
        <x:v>Actual</x:v>
      </x:c>
      <x:c r="H519" s="23" t="str">
        <x:v>EUR</x:v>
      </x:c>
    </x:row>
    <x:row r="520">
      <x:c r="A520" s="23" t="str">
        <x:v>2026-06</x:v>
      </x:c>
      <x:c r="B520" s="23" t="str">
        <x:v>2026-06-30</x:v>
      </x:c>
      <x:c r="C520" s="23" t="str">
        <x:v>2100</x:v>
      </x:c>
      <x:c r="D520" s="23" t="str">
        <x:v>Acreedores y gastos devengados</x:v>
      </x:c>
      <x:c r="E520" s="24" t="n">
        <x:v>1099413</x:v>
      </x:c>
      <x:c r="F520" s="23" t="str">
        <x:v>ERP simulado</x:v>
      </x:c>
      <x:c r="G520" s="23" t="str">
        <x:v>Actual</x:v>
      </x:c>
      <x:c r="H520" s="23" t="str">
        <x:v>EUR</x:v>
      </x:c>
    </x:row>
    <x:row r="521">
      <x:c r="A521" s="23" t="str">
        <x:v>2026-06</x:v>
      </x:c>
      <x:c r="B521" s="23" t="str">
        <x:v>2026-06-30</x:v>
      </x:c>
      <x:c r="C521" s="23" t="str">
        <x:v>2200</x:v>
      </x:c>
      <x:c r="D521" s="23" t="str">
        <x:v>Impuestos a pagar</x:v>
      </x:c>
      <x:c r="E521" s="24" t="n">
        <x:v>141693</x:v>
      </x:c>
      <x:c r="F521" s="23" t="str">
        <x:v>ERP simulado</x:v>
      </x:c>
      <x:c r="G521" s="23" t="str">
        <x:v>Actual</x:v>
      </x:c>
      <x:c r="H521" s="23" t="str">
        <x:v>EUR</x:v>
      </x:c>
    </x:row>
    <x:row r="522">
      <x:c r="A522" s="23" t="str">
        <x:v>2026-06</x:v>
      </x:c>
      <x:c r="B522" s="23" t="str">
        <x:v>2026-06-30</x:v>
      </x:c>
      <x:c r="C522" s="23" t="str">
        <x:v>2300</x:v>
      </x:c>
      <x:c r="D522" s="23" t="str">
        <x:v>Deuda financiera corriente</x:v>
      </x:c>
      <x:c r="E522" s="24" t="n">
        <x:v>1170000</x:v>
      </x:c>
      <x:c r="F522" s="23" t="str">
        <x:v>ERP simulado</x:v>
      </x:c>
      <x:c r="G522" s="23" t="str">
        <x:v>Actual</x:v>
      </x:c>
      <x:c r="H522" s="23" t="str">
        <x:v>EUR</x:v>
      </x:c>
    </x:row>
    <x:row r="523">
      <x:c r="A523" s="23" t="str">
        <x:v>2026-06</x:v>
      </x:c>
      <x:c r="B523" s="23" t="str">
        <x:v>2026-06-30</x:v>
      </x:c>
      <x:c r="C523" s="23" t="str">
        <x:v>2400</x:v>
      </x:c>
      <x:c r="D523" s="23" t="str">
        <x:v>Pasivos por arrendamiento corrientes</x:v>
      </x:c>
      <x:c r="E523" s="24" t="n">
        <x:v>75000</x:v>
      </x:c>
      <x:c r="F523" s="23" t="str">
        <x:v>ERP simulado</x:v>
      </x:c>
      <x:c r="G523" s="23" t="str">
        <x:v>Actual</x:v>
      </x:c>
      <x:c r="H523" s="23" t="str">
        <x:v>EUR</x:v>
      </x:c>
    </x:row>
    <x:row r="524">
      <x:c r="A524" s="23" t="str">
        <x:v>2026-06</x:v>
      </x:c>
      <x:c r="B524" s="23" t="str">
        <x:v>2026-06-30</x:v>
      </x:c>
      <x:c r="C524" s="23" t="str">
        <x:v>2500</x:v>
      </x:c>
      <x:c r="D524" s="23" t="str">
        <x:v>Deuda financiera no corriente</x:v>
      </x:c>
      <x:c r="E524" s="24" t="n">
        <x:v>4680000</x:v>
      </x:c>
      <x:c r="F524" s="23" t="str">
        <x:v>ERP simulado</x:v>
      </x:c>
      <x:c r="G524" s="23" t="str">
        <x:v>Actual</x:v>
      </x:c>
      <x:c r="H524" s="23" t="str">
        <x:v>EUR</x:v>
      </x:c>
    </x:row>
    <x:row r="525">
      <x:c r="A525" s="23" t="str">
        <x:v>2026-06</x:v>
      </x:c>
      <x:c r="B525" s="23" t="str">
        <x:v>2026-06-30</x:v>
      </x:c>
      <x:c r="C525" s="23" t="str">
        <x:v>2600</x:v>
      </x:c>
      <x:c r="D525" s="23" t="str">
        <x:v>Pasivos por arrendamiento no corrientes</x:v>
      </x:c>
      <x:c r="E525" s="24" t="n">
        <x:v>175000</x:v>
      </x:c>
      <x:c r="F525" s="23" t="str">
        <x:v>ERP simulado</x:v>
      </x:c>
      <x:c r="G525" s="23" t="str">
        <x:v>Actual</x:v>
      </x:c>
      <x:c r="H525" s="23" t="str">
        <x:v>EUR</x:v>
      </x:c>
    </x:row>
    <x:row r="526">
      <x:c r="A526" s="23" t="str">
        <x:v>2026-06</x:v>
      </x:c>
      <x:c r="B526" s="23" t="str">
        <x:v>2026-06-30</x:v>
      </x:c>
      <x:c r="C526" s="23" t="str">
        <x:v>2700</x:v>
      </x:c>
      <x:c r="D526" s="23" t="str">
        <x:v>Otros pasivos</x:v>
      </x:c>
      <x:c r="E526" s="24" t="n">
        <x:v>800000</x:v>
      </x:c>
      <x:c r="F526" s="23" t="str">
        <x:v>ERP simulado</x:v>
      </x:c>
      <x:c r="G526" s="23" t="str">
        <x:v>Actual</x:v>
      </x:c>
      <x:c r="H526" s="23" t="str">
        <x:v>EUR</x:v>
      </x:c>
    </x:row>
    <x:row r="527">
      <x:c r="A527" s="23" t="str">
        <x:v>2026-06</x:v>
      </x:c>
      <x:c r="B527" s="23" t="str">
        <x:v>2026-06-30</x:v>
      </x:c>
      <x:c r="C527" s="23" t="str">
        <x:v>3000</x:v>
      </x:c>
      <x:c r="D527" s="23" t="str">
        <x:v>Capital social</x:v>
      </x:c>
      <x:c r="E527" s="24" t="n">
        <x:v>5000000</x:v>
      </x:c>
      <x:c r="F527" s="23" t="str">
        <x:v>ERP simulado</x:v>
      </x:c>
      <x:c r="G527" s="23" t="str">
        <x:v>Actual</x:v>
      </x:c>
      <x:c r="H527" s="23" t="str">
        <x:v>EUR</x:v>
      </x:c>
    </x:row>
    <x:row r="528">
      <x:c r="A528" s="23" t="str">
        <x:v>2026-06</x:v>
      </x:c>
      <x:c r="B528" s="23" t="str">
        <x:v>2026-06-30</x:v>
      </x:c>
      <x:c r="C528" s="23" t="str">
        <x:v>3100</x:v>
      </x:c>
      <x:c r="D528" s="23" t="str">
        <x:v>Resultados acumulados</x:v>
      </x:c>
      <x:c r="E528" s="24" t="n">
        <x:v>11515234</x:v>
      </x:c>
      <x:c r="F528" s="23" t="str">
        <x:v>ERP simulado</x:v>
      </x:c>
      <x:c r="G528" s="23" t="str">
        <x:v>Actual</x:v>
      </x:c>
      <x:c r="H528" s="23" t="str">
        <x:v>EUR</x:v>
      </x:c>
    </x:row>
    <x:row r="529">
      <x:c r="A529" s="23" t="str">
        <x:v>2026-07</x:v>
      </x:c>
      <x:c r="B529" s="23" t="str">
        <x:v>2026-07-31</x:v>
      </x:c>
      <x:c r="C529" s="23" t="str">
        <x:v>1000</x:v>
      </x:c>
      <x:c r="D529" s="23" t="str">
        <x:v>Efectivo y equivalentes</x:v>
      </x:c>
      <x:c r="E529" s="24" t="n">
        <x:v>8555628</x:v>
      </x:c>
      <x:c r="F529" s="23" t="str">
        <x:v>ERP simulado</x:v>
      </x:c>
      <x:c r="G529" s="23" t="str">
        <x:v>Actual</x:v>
      </x:c>
      <x:c r="H529" s="23" t="str">
        <x:v>EUR</x:v>
      </x:c>
    </x:row>
    <x:row r="530">
      <x:c r="A530" s="23" t="str">
        <x:v>2026-07</x:v>
      </x:c>
      <x:c r="B530" s="23" t="str">
        <x:v>2026-07-31</x:v>
      </x:c>
      <x:c r="C530" s="23" t="str">
        <x:v>1100</x:v>
      </x:c>
      <x:c r="D530" s="23" t="str">
        <x:v>Clientes</x:v>
      </x:c>
      <x:c r="E530" s="24" t="n">
        <x:v>5859884</x:v>
      </x:c>
      <x:c r="F530" s="23" t="str">
        <x:v>ERP simulado</x:v>
      </x:c>
      <x:c r="G530" s="23" t="str">
        <x:v>Actual</x:v>
      </x:c>
      <x:c r="H530" s="23" t="str">
        <x:v>EUR</x:v>
      </x:c>
    </x:row>
    <x:row r="531">
      <x:c r="A531" s="23" t="str">
        <x:v>2026-07</x:v>
      </x:c>
      <x:c r="B531" s="23" t="str">
        <x:v>2026-07-31</x:v>
      </x:c>
      <x:c r="C531" s="23" t="str">
        <x:v>1200</x:v>
      </x:c>
      <x:c r="D531" s="23" t="str">
        <x:v>Existencias</x:v>
      </x:c>
      <x:c r="E531" s="24" t="n">
        <x:v>3261469</x:v>
      </x:c>
      <x:c r="F531" s="23" t="str">
        <x:v>ERP simulado</x:v>
      </x:c>
      <x:c r="G531" s="23" t="str">
        <x:v>Actual</x:v>
      </x:c>
      <x:c r="H531" s="23" t="str">
        <x:v>EUR</x:v>
      </x:c>
    </x:row>
    <x:row r="532">
      <x:c r="A532" s="23" t="str">
        <x:v>2026-07</x:v>
      </x:c>
      <x:c r="B532" s="23" t="str">
        <x:v>2026-07-31</x:v>
      </x:c>
      <x:c r="C532" s="23" t="str">
        <x:v>1300</x:v>
      </x:c>
      <x:c r="D532" s="23" t="str">
        <x:v>Pagos anticipados y otros activos corrientes</x:v>
      </x:c>
      <x:c r="E532" s="24" t="n">
        <x:v>721459</x:v>
      </x:c>
      <x:c r="F532" s="23" t="str">
        <x:v>ERP simulado</x:v>
      </x:c>
      <x:c r="G532" s="23" t="str">
        <x:v>Actual</x:v>
      </x:c>
      <x:c r="H532" s="23" t="str">
        <x:v>EUR</x:v>
      </x:c>
    </x:row>
    <x:row r="533">
      <x:c r="A533" s="23" t="str">
        <x:v>2026-07</x:v>
      </x:c>
      <x:c r="B533" s="23" t="str">
        <x:v>2026-07-31</x:v>
      </x:c>
      <x:c r="C533" s="23" t="str">
        <x:v>1400</x:v>
      </x:c>
      <x:c r="D533" s="23" t="str">
        <x:v>Inmovilizado material neto</x:v>
      </x:c>
      <x:c r="E533" s="24" t="n">
        <x:v>7852351</x:v>
      </x:c>
      <x:c r="F533" s="23" t="str">
        <x:v>ERP simulado</x:v>
      </x:c>
      <x:c r="G533" s="23" t="str">
        <x:v>Actual</x:v>
      </x:c>
      <x:c r="H533" s="23" t="str">
        <x:v>EUR</x:v>
      </x:c>
    </x:row>
    <x:row r="534">
      <x:c r="A534" s="23" t="str">
        <x:v>2026-07</x:v>
      </x:c>
      <x:c r="B534" s="23" t="str">
        <x:v>2026-07-31</x:v>
      </x:c>
      <x:c r="C534" s="23" t="str">
        <x:v>1500</x:v>
      </x:c>
      <x:c r="D534" s="23" t="str">
        <x:v>Activos intangibles netos</x:v>
      </x:c>
      <x:c r="E534" s="24" t="n">
        <x:v>1120250</x:v>
      </x:c>
      <x:c r="F534" s="23" t="str">
        <x:v>ERP simulado</x:v>
      </x:c>
      <x:c r="G534" s="23" t="str">
        <x:v>Actual</x:v>
      </x:c>
      <x:c r="H534" s="23" t="str">
        <x:v>EUR</x:v>
      </x:c>
    </x:row>
    <x:row r="535">
      <x:c r="A535" s="23" t="str">
        <x:v>2026-07</x:v>
      </x:c>
      <x:c r="B535" s="23" t="str">
        <x:v>2026-07-31</x:v>
      </x:c>
      <x:c r="C535" s="23" t="str">
        <x:v>1600</x:v>
      </x:c>
      <x:c r="D535" s="23" t="str">
        <x:v>Otros activos no corrientes</x:v>
      </x:c>
      <x:c r="E535" s="24" t="n">
        <x:v>800000</x:v>
      </x:c>
      <x:c r="F535" s="23" t="str">
        <x:v>ERP simulado</x:v>
      </x:c>
      <x:c r="G535" s="23" t="str">
        <x:v>Actual</x:v>
      </x:c>
      <x:c r="H535" s="23" t="str">
        <x:v>EUR</x:v>
      </x:c>
    </x:row>
    <x:row r="536">
      <x:c r="A536" s="23" t="str">
        <x:v>2026-07</x:v>
      </x:c>
      <x:c r="B536" s="23" t="str">
        <x:v>2026-07-31</x:v>
      </x:c>
      <x:c r="C536" s="23" t="str">
        <x:v>2000</x:v>
      </x:c>
      <x:c r="D536" s="23" t="str">
        <x:v>Proveedores</x:v>
      </x:c>
      <x:c r="E536" s="24" t="n">
        <x:v>3340039</x:v>
      </x:c>
      <x:c r="F536" s="23" t="str">
        <x:v>ERP simulado</x:v>
      </x:c>
      <x:c r="G536" s="23" t="str">
        <x:v>Actual</x:v>
      </x:c>
      <x:c r="H536" s="23" t="str">
        <x:v>EUR</x:v>
      </x:c>
    </x:row>
    <x:row r="537">
      <x:c r="A537" s="23" t="str">
        <x:v>2026-07</x:v>
      </x:c>
      <x:c r="B537" s="23" t="str">
        <x:v>2026-07-31</x:v>
      </x:c>
      <x:c r="C537" s="23" t="str">
        <x:v>2100</x:v>
      </x:c>
      <x:c r="D537" s="23" t="str">
        <x:v>Acreedores y gastos devengados</x:v>
      </x:c>
      <x:c r="E537" s="24" t="n">
        <x:v>1030655</x:v>
      </x:c>
      <x:c r="F537" s="23" t="str">
        <x:v>ERP simulado</x:v>
      </x:c>
      <x:c r="G537" s="23" t="str">
        <x:v>Actual</x:v>
      </x:c>
      <x:c r="H537" s="23" t="str">
        <x:v>EUR</x:v>
      </x:c>
    </x:row>
    <x:row r="538">
      <x:c r="A538" s="23" t="str">
        <x:v>2026-07</x:v>
      </x:c>
      <x:c r="B538" s="23" t="str">
        <x:v>2026-07-31</x:v>
      </x:c>
      <x:c r="C538" s="23" t="str">
        <x:v>2200</x:v>
      </x:c>
      <x:c r="D538" s="23" t="str">
        <x:v>Impuestos a pagar</x:v>
      </x:c>
      <x:c r="E538" s="24" t="n">
        <x:v>127277</x:v>
      </x:c>
      <x:c r="F538" s="23" t="str">
        <x:v>ERP simulado</x:v>
      </x:c>
      <x:c r="G538" s="23" t="str">
        <x:v>Actual</x:v>
      </x:c>
      <x:c r="H538" s="23" t="str">
        <x:v>EUR</x:v>
      </x:c>
    </x:row>
    <x:row r="539">
      <x:c r="A539" s="23" t="str">
        <x:v>2026-07</x:v>
      </x:c>
      <x:c r="B539" s="23" t="str">
        <x:v>2026-07-31</x:v>
      </x:c>
      <x:c r="C539" s="23" t="str">
        <x:v>2300</x:v>
      </x:c>
      <x:c r="D539" s="23" t="str">
        <x:v>Deuda financiera corriente</x:v>
      </x:c>
      <x:c r="E539" s="24" t="n">
        <x:v>1170000</x:v>
      </x:c>
      <x:c r="F539" s="23" t="str">
        <x:v>ERP simulado</x:v>
      </x:c>
      <x:c r="G539" s="23" t="str">
        <x:v>Actual</x:v>
      </x:c>
      <x:c r="H539" s="23" t="str">
        <x:v>EUR</x:v>
      </x:c>
    </x:row>
    <x:row r="540">
      <x:c r="A540" s="23" t="str">
        <x:v>2026-07</x:v>
      </x:c>
      <x:c r="B540" s="23" t="str">
        <x:v>2026-07-31</x:v>
      </x:c>
      <x:c r="C540" s="23" t="str">
        <x:v>2400</x:v>
      </x:c>
      <x:c r="D540" s="23" t="str">
        <x:v>Pasivos por arrendamiento corrientes</x:v>
      </x:c>
      <x:c r="E540" s="24" t="n">
        <x:v>67500</x:v>
      </x:c>
      <x:c r="F540" s="23" t="str">
        <x:v>ERP simulado</x:v>
      </x:c>
      <x:c r="G540" s="23" t="str">
        <x:v>Actual</x:v>
      </x:c>
      <x:c r="H540" s="23" t="str">
        <x:v>EUR</x:v>
      </x:c>
    </x:row>
    <x:row r="541">
      <x:c r="A541" s="23" t="str">
        <x:v>2026-07</x:v>
      </x:c>
      <x:c r="B541" s="23" t="str">
        <x:v>2026-07-31</x:v>
      </x:c>
      <x:c r="C541" s="23" t="str">
        <x:v>2500</x:v>
      </x:c>
      <x:c r="D541" s="23" t="str">
        <x:v>Deuda financiera no corriente</x:v>
      </x:c>
      <x:c r="E541" s="24" t="n">
        <x:v>4680000</x:v>
      </x:c>
      <x:c r="F541" s="23" t="str">
        <x:v>ERP simulado</x:v>
      </x:c>
      <x:c r="G541" s="23" t="str">
        <x:v>Actual</x:v>
      </x:c>
      <x:c r="H541" s="23" t="str">
        <x:v>EUR</x:v>
      </x:c>
    </x:row>
    <x:row r="542">
      <x:c r="A542" s="23" t="str">
        <x:v>2026-07</x:v>
      </x:c>
      <x:c r="B542" s="23" t="str">
        <x:v>2026-07-31</x:v>
      </x:c>
      <x:c r="C542" s="23" t="str">
        <x:v>2600</x:v>
      </x:c>
      <x:c r="D542" s="23" t="str">
        <x:v>Pasivos por arrendamiento no corrientes</x:v>
      </x:c>
      <x:c r="E542" s="24" t="n">
        <x:v>157500</x:v>
      </x:c>
      <x:c r="F542" s="23" t="str">
        <x:v>ERP simulado</x:v>
      </x:c>
      <x:c r="G542" s="23" t="str">
        <x:v>Actual</x:v>
      </x:c>
      <x:c r="H542" s="23" t="str">
        <x:v>EUR</x:v>
      </x:c>
    </x:row>
    <x:row r="543">
      <x:c r="A543" s="23" t="str">
        <x:v>2026-07</x:v>
      </x:c>
      <x:c r="B543" s="23" t="str">
        <x:v>2026-07-31</x:v>
      </x:c>
      <x:c r="C543" s="23" t="str">
        <x:v>2700</x:v>
      </x:c>
      <x:c r="D543" s="23" t="str">
        <x:v>Otros pasivos</x:v>
      </x:c>
      <x:c r="E543" s="24" t="n">
        <x:v>800000</x:v>
      </x:c>
      <x:c r="F543" s="23" t="str">
        <x:v>ERP simulado</x:v>
      </x:c>
      <x:c r="G543" s="23" t="str">
        <x:v>Actual</x:v>
      </x:c>
      <x:c r="H543" s="23" t="str">
        <x:v>EUR</x:v>
      </x:c>
    </x:row>
    <x:row r="544">
      <x:c r="A544" s="23" t="str">
        <x:v>2026-07</x:v>
      </x:c>
      <x:c r="B544" s="23" t="str">
        <x:v>2026-07-31</x:v>
      </x:c>
      <x:c r="C544" s="23" t="str">
        <x:v>3000</x:v>
      </x:c>
      <x:c r="D544" s="23" t="str">
        <x:v>Capital social</x:v>
      </x:c>
      <x:c r="E544" s="24" t="n">
        <x:v>5000000</x:v>
      </x:c>
      <x:c r="F544" s="23" t="str">
        <x:v>ERP simulado</x:v>
      </x:c>
      <x:c r="G544" s="23" t="str">
        <x:v>Actual</x:v>
      </x:c>
      <x:c r="H544" s="23" t="str">
        <x:v>EUR</x:v>
      </x:c>
    </x:row>
    <x:row r="545">
      <x:c r="A545" s="23" t="str">
        <x:v>2026-07</x:v>
      </x:c>
      <x:c r="B545" s="23" t="str">
        <x:v>2026-07-31</x:v>
      </x:c>
      <x:c r="C545" s="23" t="str">
        <x:v>3100</x:v>
      </x:c>
      <x:c r="D545" s="23" t="str">
        <x:v>Resultados acumulados</x:v>
      </x:c>
      <x:c r="E545" s="24" t="n">
        <x:v>11798070</x:v>
      </x:c>
      <x:c r="F545" s="23" t="str">
        <x:v>ERP simulado</x:v>
      </x:c>
      <x:c r="G545" s="23" t="str">
        <x:v>Actual</x:v>
      </x:c>
      <x:c r="H545" s="23" t="str">
        <x:v>EUR</x:v>
      </x:c>
    </x:row>
    <x:row r="546">
      <x:c r="A546" s="23" t="str">
        <x:v>2026-08</x:v>
      </x:c>
      <x:c r="B546" s="23" t="str">
        <x:v>2026-08-31</x:v>
      </x:c>
      <x:c r="C546" s="23" t="str">
        <x:v>1000</x:v>
      </x:c>
      <x:c r="D546" s="23" t="str">
        <x:v>Efectivo y equivalentes</x:v>
      </x:c>
      <x:c r="E546" s="24" t="n">
        <x:v>9105862</x:v>
      </x:c>
      <x:c r="F546" s="23" t="str">
        <x:v>ERP simulado</x:v>
      </x:c>
      <x:c r="G546" s="23" t="str">
        <x:v>Actual</x:v>
      </x:c>
      <x:c r="H546" s="23" t="str">
        <x:v>EUR</x:v>
      </x:c>
    </x:row>
    <x:row r="547">
      <x:c r="A547" s="23" t="str">
        <x:v>2026-08</x:v>
      </x:c>
      <x:c r="B547" s="23" t="str">
        <x:v>2026-08-31</x:v>
      </x:c>
      <x:c r="C547" s="23" t="str">
        <x:v>1100</x:v>
      </x:c>
      <x:c r="D547" s="23" t="str">
        <x:v>Clientes</x:v>
      </x:c>
      <x:c r="E547" s="24" t="n">
        <x:v>5598047</x:v>
      </x:c>
      <x:c r="F547" s="23" t="str">
        <x:v>ERP simulado</x:v>
      </x:c>
      <x:c r="G547" s="23" t="str">
        <x:v>Actual</x:v>
      </x:c>
      <x:c r="H547" s="23" t="str">
        <x:v>EUR</x:v>
      </x:c>
    </x:row>
    <x:row r="548">
      <x:c r="A548" s="23" t="str">
        <x:v>2026-08</x:v>
      </x:c>
      <x:c r="B548" s="23" t="str">
        <x:v>2026-08-31</x:v>
      </x:c>
      <x:c r="C548" s="23" t="str">
        <x:v>1200</x:v>
      </x:c>
      <x:c r="D548" s="23" t="str">
        <x:v>Existencias</x:v>
      </x:c>
      <x:c r="E548" s="24" t="n">
        <x:v>3115882</x:v>
      </x:c>
      <x:c r="F548" s="23" t="str">
        <x:v>ERP simulado</x:v>
      </x:c>
      <x:c r="G548" s="23" t="str">
        <x:v>Actual</x:v>
      </x:c>
      <x:c r="H548" s="23" t="str">
        <x:v>EUR</x:v>
      </x:c>
    </x:row>
    <x:row r="549">
      <x:c r="A549" s="23" t="str">
        <x:v>2026-08</x:v>
      </x:c>
      <x:c r="B549" s="23" t="str">
        <x:v>2026-08-31</x:v>
      </x:c>
      <x:c r="C549" s="23" t="str">
        <x:v>1300</x:v>
      </x:c>
      <x:c r="D549" s="23" t="str">
        <x:v>Pagos anticipados y otros activos corrientes</x:v>
      </x:c>
      <x:c r="E549" s="24" t="n">
        <x:v>687749</x:v>
      </x:c>
      <x:c r="F549" s="23" t="str">
        <x:v>ERP simulado</x:v>
      </x:c>
      <x:c r="G549" s="23" t="str">
        <x:v>Actual</x:v>
      </x:c>
      <x:c r="H549" s="23" t="str">
        <x:v>EUR</x:v>
      </x:c>
    </x:row>
    <x:row r="550">
      <x:c r="A550" s="23" t="str">
        <x:v>2026-08</x:v>
      </x:c>
      <x:c r="B550" s="23" t="str">
        <x:v>2026-08-31</x:v>
      </x:c>
      <x:c r="C550" s="23" t="str">
        <x:v>1400</x:v>
      </x:c>
      <x:c r="D550" s="23" t="str">
        <x:v>Inmovilizado material neto</x:v>
      </x:c>
      <x:c r="E550" s="24" t="n">
        <x:v>7790136</x:v>
      </x:c>
      <x:c r="F550" s="23" t="str">
        <x:v>ERP simulado</x:v>
      </x:c>
      <x:c r="G550" s="23" t="str">
        <x:v>Actual</x:v>
      </x:c>
      <x:c r="H550" s="23" t="str">
        <x:v>EUR</x:v>
      </x:c>
    </x:row>
    <x:row r="551">
      <x:c r="A551" s="23" t="str">
        <x:v>2026-08</x:v>
      </x:c>
      <x:c r="B551" s="23" t="str">
        <x:v>2026-08-31</x:v>
      </x:c>
      <x:c r="C551" s="23" t="str">
        <x:v>1500</x:v>
      </x:c>
      <x:c r="D551" s="23" t="str">
        <x:v>Activos intangibles netos</x:v>
      </x:c>
      <x:c r="E551" s="24" t="n">
        <x:v>1102400</x:v>
      </x:c>
      <x:c r="F551" s="23" t="str">
        <x:v>ERP simulado</x:v>
      </x:c>
      <x:c r="G551" s="23" t="str">
        <x:v>Actual</x:v>
      </x:c>
      <x:c r="H551" s="23" t="str">
        <x:v>EUR</x:v>
      </x:c>
    </x:row>
    <x:row r="552">
      <x:c r="A552" s="23" t="str">
        <x:v>2026-08</x:v>
      </x:c>
      <x:c r="B552" s="23" t="str">
        <x:v>2026-08-31</x:v>
      </x:c>
      <x:c r="C552" s="23" t="str">
        <x:v>1600</x:v>
      </x:c>
      <x:c r="D552" s="23" t="str">
        <x:v>Otros activos no corrientes</x:v>
      </x:c>
      <x:c r="E552" s="24" t="n">
        <x:v>800000</x:v>
      </x:c>
      <x:c r="F552" s="23" t="str">
        <x:v>ERP simulado</x:v>
      </x:c>
      <x:c r="G552" s="23" t="str">
        <x:v>Actual</x:v>
      </x:c>
      <x:c r="H552" s="23" t="str">
        <x:v>EUR</x:v>
      </x:c>
    </x:row>
    <x:row r="553">
      <x:c r="A553" s="23" t="str">
        <x:v>2026-08</x:v>
      </x:c>
      <x:c r="B553" s="23" t="str">
        <x:v>2026-08-31</x:v>
      </x:c>
      <x:c r="C553" s="23" t="str">
        <x:v>2000</x:v>
      </x:c>
      <x:c r="D553" s="23" t="str">
        <x:v>Proveedores</x:v>
      </x:c>
      <x:c r="E553" s="24" t="n">
        <x:v>3191503</x:v>
      </x:c>
      <x:c r="F553" s="23" t="str">
        <x:v>ERP simulado</x:v>
      </x:c>
      <x:c r="G553" s="23" t="str">
        <x:v>Actual</x:v>
      </x:c>
      <x:c r="H553" s="23" t="str">
        <x:v>EUR</x:v>
      </x:c>
    </x:row>
    <x:row r="554">
      <x:c r="A554" s="23" t="str">
        <x:v>2026-08</x:v>
      </x:c>
      <x:c r="B554" s="23" t="str">
        <x:v>2026-08-31</x:v>
      </x:c>
      <x:c r="C554" s="23" t="str">
        <x:v>2100</x:v>
      </x:c>
      <x:c r="D554" s="23" t="str">
        <x:v>Acreedores y gastos devengados</x:v>
      </x:c>
      <x:c r="E554" s="24" t="n">
        <x:v>982499</x:v>
      </x:c>
      <x:c r="F554" s="23" t="str">
        <x:v>ERP simulado</x:v>
      </x:c>
      <x:c r="G554" s="23" t="str">
        <x:v>Actual</x:v>
      </x:c>
      <x:c r="H554" s="23" t="str">
        <x:v>EUR</x:v>
      </x:c>
    </x:row>
    <x:row r="555">
      <x:c r="A555" s="23" t="str">
        <x:v>2026-08</x:v>
      </x:c>
      <x:c r="B555" s="23" t="str">
        <x:v>2026-08-31</x:v>
      </x:c>
      <x:c r="C555" s="23" t="str">
        <x:v>2200</x:v>
      </x:c>
      <x:c r="D555" s="23" t="str">
        <x:v>Impuestos a pagar</x:v>
      </x:c>
      <x:c r="E555" s="24" t="n">
        <x:v>117312</x:v>
      </x:c>
      <x:c r="F555" s="23" t="str">
        <x:v>ERP simulado</x:v>
      </x:c>
      <x:c r="G555" s="23" t="str">
        <x:v>Actual</x:v>
      </x:c>
      <x:c r="H555" s="23" t="str">
        <x:v>EUR</x:v>
      </x:c>
    </x:row>
    <x:row r="556">
      <x:c r="A556" s="23" t="str">
        <x:v>2026-08</x:v>
      </x:c>
      <x:c r="B556" s="23" t="str">
        <x:v>2026-08-31</x:v>
      </x:c>
      <x:c r="C556" s="23" t="str">
        <x:v>2300</x:v>
      </x:c>
      <x:c r="D556" s="23" t="str">
        <x:v>Deuda financiera corriente</x:v>
      </x:c>
      <x:c r="E556" s="24" t="n">
        <x:v>1170000</x:v>
      </x:c>
      <x:c r="F556" s="23" t="str">
        <x:v>ERP simulado</x:v>
      </x:c>
      <x:c r="G556" s="23" t="str">
        <x:v>Actual</x:v>
      </x:c>
      <x:c r="H556" s="23" t="str">
        <x:v>EUR</x:v>
      </x:c>
    </x:row>
    <x:row r="557">
      <x:c r="A557" s="23" t="str">
        <x:v>2026-08</x:v>
      </x:c>
      <x:c r="B557" s="23" t="str">
        <x:v>2026-08-31</x:v>
      </x:c>
      <x:c r="C557" s="23" t="str">
        <x:v>2400</x:v>
      </x:c>
      <x:c r="D557" s="23" t="str">
        <x:v>Pasivos por arrendamiento corrientes</x:v>
      </x:c>
      <x:c r="E557" s="24" t="n">
        <x:v>60000</x:v>
      </x:c>
      <x:c r="F557" s="23" t="str">
        <x:v>ERP simulado</x:v>
      </x:c>
      <x:c r="G557" s="23" t="str">
        <x:v>Actual</x:v>
      </x:c>
      <x:c r="H557" s="23" t="str">
        <x:v>EUR</x:v>
      </x:c>
    </x:row>
    <x:row r="558">
      <x:c r="A558" s="23" t="str">
        <x:v>2026-08</x:v>
      </x:c>
      <x:c r="B558" s="23" t="str">
        <x:v>2026-08-31</x:v>
      </x:c>
      <x:c r="C558" s="23" t="str">
        <x:v>2500</x:v>
      </x:c>
      <x:c r="D558" s="23" t="str">
        <x:v>Deuda financiera no corriente</x:v>
      </x:c>
      <x:c r="E558" s="24" t="n">
        <x:v>4680000</x:v>
      </x:c>
      <x:c r="F558" s="23" t="str">
        <x:v>ERP simulado</x:v>
      </x:c>
      <x:c r="G558" s="23" t="str">
        <x:v>Actual</x:v>
      </x:c>
      <x:c r="H558" s="23" t="str">
        <x:v>EUR</x:v>
      </x:c>
    </x:row>
    <x:row r="559">
      <x:c r="A559" s="23" t="str">
        <x:v>2026-08</x:v>
      </x:c>
      <x:c r="B559" s="23" t="str">
        <x:v>2026-08-31</x:v>
      </x:c>
      <x:c r="C559" s="23" t="str">
        <x:v>2600</x:v>
      </x:c>
      <x:c r="D559" s="23" t="str">
        <x:v>Pasivos por arrendamiento no corrientes</x:v>
      </x:c>
      <x:c r="E559" s="24" t="n">
        <x:v>140000</x:v>
      </x:c>
      <x:c r="F559" s="23" t="str">
        <x:v>ERP simulado</x:v>
      </x:c>
      <x:c r="G559" s="23" t="str">
        <x:v>Actual</x:v>
      </x:c>
      <x:c r="H559" s="23" t="str">
        <x:v>EUR</x:v>
      </x:c>
    </x:row>
    <x:row r="560">
      <x:c r="A560" s="23" t="str">
        <x:v>2026-08</x:v>
      </x:c>
      <x:c r="B560" s="23" t="str">
        <x:v>2026-08-31</x:v>
      </x:c>
      <x:c r="C560" s="23" t="str">
        <x:v>2700</x:v>
      </x:c>
      <x:c r="D560" s="23" t="str">
        <x:v>Otros pasivos</x:v>
      </x:c>
      <x:c r="E560" s="24" t="n">
        <x:v>800000</x:v>
      </x:c>
      <x:c r="F560" s="23" t="str">
        <x:v>ERP simulado</x:v>
      </x:c>
      <x:c r="G560" s="23" t="str">
        <x:v>Actual</x:v>
      </x:c>
      <x:c r="H560" s="23" t="str">
        <x:v>EUR</x:v>
      </x:c>
    </x:row>
    <x:row r="561">
      <x:c r="A561" s="23" t="str">
        <x:v>2026-08</x:v>
      </x:c>
      <x:c r="B561" s="23" t="str">
        <x:v>2026-08-31</x:v>
      </x:c>
      <x:c r="C561" s="23" t="str">
        <x:v>3000</x:v>
      </x:c>
      <x:c r="D561" s="23" t="str">
        <x:v>Capital social</x:v>
      </x:c>
      <x:c r="E561" s="24" t="n">
        <x:v>5000000</x:v>
      </x:c>
      <x:c r="F561" s="23" t="str">
        <x:v>ERP simulado</x:v>
      </x:c>
      <x:c r="G561" s="23" t="str">
        <x:v>Actual</x:v>
      </x:c>
      <x:c r="H561" s="23" t="str">
        <x:v>EUR</x:v>
      </x:c>
    </x:row>
    <x:row r="562">
      <x:c r="A562" s="23" t="str">
        <x:v>2026-08</x:v>
      </x:c>
      <x:c r="B562" s="23" t="str">
        <x:v>2026-08-31</x:v>
      </x:c>
      <x:c r="C562" s="23" t="str">
        <x:v>3100</x:v>
      </x:c>
      <x:c r="D562" s="23" t="str">
        <x:v>Resultados acumulados</x:v>
      </x:c>
      <x:c r="E562" s="24" t="n">
        <x:v>12058762</x:v>
      </x:c>
      <x:c r="F562" s="23" t="str">
        <x:v>ERP simulado</x:v>
      </x:c>
      <x:c r="G562" s="23" t="str">
        <x:v>Actual</x:v>
      </x:c>
      <x:c r="H562" s="23" t="str">
        <x:v>EUR</x:v>
      </x:c>
    </x:row>
    <x:row r="563">
      <x:c r="A563" s="23" t="str">
        <x:v>2026-09</x:v>
      </x:c>
      <x:c r="B563" s="23" t="str">
        <x:v>2026-09-30</x:v>
      </x:c>
      <x:c r="C563" s="23" t="str">
        <x:v>1000</x:v>
      </x:c>
      <x:c r="D563" s="23" t="str">
        <x:v>Efectivo y equivalentes</x:v>
      </x:c>
      <x:c r="E563" s="24" t="n">
        <x:v>7882155</x:v>
      </x:c>
      <x:c r="F563" s="23" t="str">
        <x:v>ERP simulado</x:v>
      </x:c>
      <x:c r="G563" s="23" t="str">
        <x:v>Actual</x:v>
      </x:c>
      <x:c r="H563" s="23" t="str">
        <x:v>EUR</x:v>
      </x:c>
    </x:row>
    <x:row r="564">
      <x:c r="A564" s="23" t="str">
        <x:v>2026-09</x:v>
      </x:c>
      <x:c r="B564" s="23" t="str">
        <x:v>2026-09-30</x:v>
      </x:c>
      <x:c r="C564" s="23" t="str">
        <x:v>1100</x:v>
      </x:c>
      <x:c r="D564" s="23" t="str">
        <x:v>Clientes</x:v>
      </x:c>
      <x:c r="E564" s="24" t="n">
        <x:v>6634131</x:v>
      </x:c>
      <x:c r="F564" s="23" t="str">
        <x:v>ERP simulado</x:v>
      </x:c>
      <x:c r="G564" s="23" t="str">
        <x:v>Actual</x:v>
      </x:c>
      <x:c r="H564" s="23" t="str">
        <x:v>EUR</x:v>
      </x:c>
    </x:row>
    <x:row r="565">
      <x:c r="A565" s="23" t="str">
        <x:v>2026-09</x:v>
      </x:c>
      <x:c r="B565" s="23" t="str">
        <x:v>2026-09-30</x:v>
      </x:c>
      <x:c r="C565" s="23" t="str">
        <x:v>1200</x:v>
      </x:c>
      <x:c r="D565" s="23" t="str">
        <x:v>Existencias</x:v>
      </x:c>
      <x:c r="E565" s="24" t="n">
        <x:v>3692554</x:v>
      </x:c>
      <x:c r="F565" s="23" t="str">
        <x:v>ERP simulado</x:v>
      </x:c>
      <x:c r="G565" s="23" t="str">
        <x:v>Actual</x:v>
      </x:c>
      <x:c r="H565" s="23" t="str">
        <x:v>EUR</x:v>
      </x:c>
    </x:row>
    <x:row r="566">
      <x:c r="A566" s="23" t="str">
        <x:v>2026-09</x:v>
      </x:c>
      <x:c r="B566" s="23" t="str">
        <x:v>2026-09-30</x:v>
      </x:c>
      <x:c r="C566" s="23" t="str">
        <x:v>1300</x:v>
      </x:c>
      <x:c r="D566" s="23" t="str">
        <x:v>Pagos anticipados y otros activos corrientes</x:v>
      </x:c>
      <x:c r="E566" s="24" t="n">
        <x:v>788902</x:v>
      </x:c>
      <x:c r="F566" s="23" t="str">
        <x:v>ERP simulado</x:v>
      </x:c>
      <x:c r="G566" s="23" t="str">
        <x:v>Actual</x:v>
      </x:c>
      <x:c r="H566" s="23" t="str">
        <x:v>EUR</x:v>
      </x:c>
    </x:row>
    <x:row r="567">
      <x:c r="A567" s="23" t="str">
        <x:v>2026-09</x:v>
      </x:c>
      <x:c r="B567" s="23" t="str">
        <x:v>2026-09-30</x:v>
      </x:c>
      <x:c r="C567" s="23" t="str">
        <x:v>1400</x:v>
      </x:c>
      <x:c r="D567" s="23" t="str">
        <x:v>Inmovilizado material neto</x:v>
      </x:c>
      <x:c r="E567" s="24" t="n">
        <x:v>8241476</x:v>
      </x:c>
      <x:c r="F567" s="23" t="str">
        <x:v>ERP simulado</x:v>
      </x:c>
      <x:c r="G567" s="23" t="str">
        <x:v>Actual</x:v>
      </x:c>
      <x:c r="H567" s="23" t="str">
        <x:v>EUR</x:v>
      </x:c>
    </x:row>
    <x:row r="568">
      <x:c r="A568" s="23" t="str">
        <x:v>2026-09</x:v>
      </x:c>
      <x:c r="B568" s="23" t="str">
        <x:v>2026-09-30</x:v>
      </x:c>
      <x:c r="C568" s="23" t="str">
        <x:v>1500</x:v>
      </x:c>
      <x:c r="D568" s="23" t="str">
        <x:v>Activos intangibles netos</x:v>
      </x:c>
      <x:c r="E568" s="24" t="n">
        <x:v>1114200</x:v>
      </x:c>
      <x:c r="F568" s="23" t="str">
        <x:v>ERP simulado</x:v>
      </x:c>
      <x:c r="G568" s="23" t="str">
        <x:v>Actual</x:v>
      </x:c>
      <x:c r="H568" s="23" t="str">
        <x:v>EUR</x:v>
      </x:c>
    </x:row>
    <x:row r="569">
      <x:c r="A569" s="23" t="str">
        <x:v>2026-09</x:v>
      </x:c>
      <x:c r="B569" s="23" t="str">
        <x:v>2026-09-30</x:v>
      </x:c>
      <x:c r="C569" s="23" t="str">
        <x:v>1600</x:v>
      </x:c>
      <x:c r="D569" s="23" t="str">
        <x:v>Otros activos no corrientes</x:v>
      </x:c>
      <x:c r="E569" s="24" t="n">
        <x:v>800000</x:v>
      </x:c>
      <x:c r="F569" s="23" t="str">
        <x:v>ERP simulado</x:v>
      </x:c>
      <x:c r="G569" s="23" t="str">
        <x:v>Actual</x:v>
      </x:c>
      <x:c r="H569" s="23" t="str">
        <x:v>EUR</x:v>
      </x:c>
    </x:row>
    <x:row r="570">
      <x:c r="A570" s="23" t="str">
        <x:v>2026-09</x:v>
      </x:c>
      <x:c r="B570" s="23" t="str">
        <x:v>2026-09-30</x:v>
      </x:c>
      <x:c r="C570" s="23" t="str">
        <x:v>2000</x:v>
      </x:c>
      <x:c r="D570" s="23" t="str">
        <x:v>Proveedores</x:v>
      </x:c>
      <x:c r="E570" s="24" t="n">
        <x:v>3795529</x:v>
      </x:c>
      <x:c r="F570" s="23" t="str">
        <x:v>ERP simulado</x:v>
      </x:c>
      <x:c r="G570" s="23" t="str">
        <x:v>Actual</x:v>
      </x:c>
      <x:c r="H570" s="23" t="str">
        <x:v>EUR</x:v>
      </x:c>
    </x:row>
    <x:row r="571">
      <x:c r="A571" s="23" t="str">
        <x:v>2026-09</x:v>
      </x:c>
      <x:c r="B571" s="23" t="str">
        <x:v>2026-09-30</x:v>
      </x:c>
      <x:c r="C571" s="23" t="str">
        <x:v>2100</x:v>
      </x:c>
      <x:c r="D571" s="23" t="str">
        <x:v>Acreedores y gastos devengados</x:v>
      </x:c>
      <x:c r="E571" s="24" t="n">
        <x:v>1127003</x:v>
      </x:c>
      <x:c r="F571" s="23" t="str">
        <x:v>ERP simulado</x:v>
      </x:c>
      <x:c r="G571" s="23" t="str">
        <x:v>Actual</x:v>
      </x:c>
      <x:c r="H571" s="23" t="str">
        <x:v>EUR</x:v>
      </x:c>
    </x:row>
    <x:row r="572">
      <x:c r="A572" s="23" t="str">
        <x:v>2026-09</x:v>
      </x:c>
      <x:c r="B572" s="23" t="str">
        <x:v>2026-09-30</x:v>
      </x:c>
      <x:c r="C572" s="23" t="str">
        <x:v>2200</x:v>
      </x:c>
      <x:c r="D572" s="23" t="str">
        <x:v>Impuestos a pagar</x:v>
      </x:c>
      <x:c r="E572" s="24" t="n">
        <x:v>146521</x:v>
      </x:c>
      <x:c r="F572" s="23" t="str">
        <x:v>ERP simulado</x:v>
      </x:c>
      <x:c r="G572" s="23" t="str">
        <x:v>Actual</x:v>
      </x:c>
      <x:c r="H572" s="23" t="str">
        <x:v>EUR</x:v>
      </x:c>
    </x:row>
    <x:row r="573">
      <x:c r="A573" s="23" t="str">
        <x:v>2026-09</x:v>
      </x:c>
      <x:c r="B573" s="23" t="str">
        <x:v>2026-09-30</x:v>
      </x:c>
      <x:c r="C573" s="23" t="str">
        <x:v>2300</x:v>
      </x:c>
      <x:c r="D573" s="23" t="str">
        <x:v>Deuda financiera corriente</x:v>
      </x:c>
      <x:c r="E573" s="24" t="n">
        <x:v>1145000</x:v>
      </x:c>
      <x:c r="F573" s="23" t="str">
        <x:v>ERP simulado</x:v>
      </x:c>
      <x:c r="G573" s="23" t="str">
        <x:v>Actual</x:v>
      </x:c>
      <x:c r="H573" s="23" t="str">
        <x:v>EUR</x:v>
      </x:c>
    </x:row>
    <x:row r="574">
      <x:c r="A574" s="23" t="str">
        <x:v>2026-09</x:v>
      </x:c>
      <x:c r="B574" s="23" t="str">
        <x:v>2026-09-30</x:v>
      </x:c>
      <x:c r="C574" s="23" t="str">
        <x:v>2400</x:v>
      </x:c>
      <x:c r="D574" s="23" t="str">
        <x:v>Pasivos por arrendamiento corrientes</x:v>
      </x:c>
      <x:c r="E574" s="24" t="n">
        <x:v>52500</x:v>
      </x:c>
      <x:c r="F574" s="23" t="str">
        <x:v>ERP simulado</x:v>
      </x:c>
      <x:c r="G574" s="23" t="str">
        <x:v>Actual</x:v>
      </x:c>
      <x:c r="H574" s="23" t="str">
        <x:v>EUR</x:v>
      </x:c>
    </x:row>
    <x:row r="575">
      <x:c r="A575" s="23" t="str">
        <x:v>2026-09</x:v>
      </x:c>
      <x:c r="B575" s="23" t="str">
        <x:v>2026-09-30</x:v>
      </x:c>
      <x:c r="C575" s="23" t="str">
        <x:v>2500</x:v>
      </x:c>
      <x:c r="D575" s="23" t="str">
        <x:v>Deuda financiera no corriente</x:v>
      </x:c>
      <x:c r="E575" s="24" t="n">
        <x:v>4580000</x:v>
      </x:c>
      <x:c r="F575" s="23" t="str">
        <x:v>ERP simulado</x:v>
      </x:c>
      <x:c r="G575" s="23" t="str">
        <x:v>Actual</x:v>
      </x:c>
      <x:c r="H575" s="23" t="str">
        <x:v>EUR</x:v>
      </x:c>
    </x:row>
    <x:row r="576">
      <x:c r="A576" s="23" t="str">
        <x:v>2026-09</x:v>
      </x:c>
      <x:c r="B576" s="23" t="str">
        <x:v>2026-09-30</x:v>
      </x:c>
      <x:c r="C576" s="23" t="str">
        <x:v>2600</x:v>
      </x:c>
      <x:c r="D576" s="23" t="str">
        <x:v>Pasivos por arrendamiento no corrientes</x:v>
      </x:c>
      <x:c r="E576" s="24" t="n">
        <x:v>122500</x:v>
      </x:c>
      <x:c r="F576" s="23" t="str">
        <x:v>ERP simulado</x:v>
      </x:c>
      <x:c r="G576" s="23" t="str">
        <x:v>Actual</x:v>
      </x:c>
      <x:c r="H576" s="23" t="str">
        <x:v>EUR</x:v>
      </x:c>
    </x:row>
    <x:row r="577">
      <x:c r="A577" s="23" t="str">
        <x:v>2026-09</x:v>
      </x:c>
      <x:c r="B577" s="23" t="str">
        <x:v>2026-09-30</x:v>
      </x:c>
      <x:c r="C577" s="23" t="str">
        <x:v>2700</x:v>
      </x:c>
      <x:c r="D577" s="23" t="str">
        <x:v>Otros pasivos</x:v>
      </x:c>
      <x:c r="E577" s="24" t="n">
        <x:v>800000</x:v>
      </x:c>
      <x:c r="F577" s="23" t="str">
        <x:v>ERP simulado</x:v>
      </x:c>
      <x:c r="G577" s="23" t="str">
        <x:v>Actual</x:v>
      </x:c>
      <x:c r="H577" s="23" t="str">
        <x:v>EUR</x:v>
      </x:c>
    </x:row>
    <x:row r="578">
      <x:c r="A578" s="23" t="str">
        <x:v>2026-09</x:v>
      </x:c>
      <x:c r="B578" s="23" t="str">
        <x:v>2026-09-30</x:v>
      </x:c>
      <x:c r="C578" s="23" t="str">
        <x:v>3000</x:v>
      </x:c>
      <x:c r="D578" s="23" t="str">
        <x:v>Capital social</x:v>
      </x:c>
      <x:c r="E578" s="24" t="n">
        <x:v>5000000</x:v>
      </x:c>
      <x:c r="F578" s="23" t="str">
        <x:v>ERP simulado</x:v>
      </x:c>
      <x:c r="G578" s="23" t="str">
        <x:v>Actual</x:v>
      </x:c>
      <x:c r="H578" s="23" t="str">
        <x:v>EUR</x:v>
      </x:c>
    </x:row>
    <x:row r="579">
      <x:c r="A579" s="23" t="str">
        <x:v>2026-09</x:v>
      </x:c>
      <x:c r="B579" s="23" t="str">
        <x:v>2026-09-30</x:v>
      </x:c>
      <x:c r="C579" s="23" t="str">
        <x:v>3100</x:v>
      </x:c>
      <x:c r="D579" s="23" t="str">
        <x:v>Resultados acumulados</x:v>
      </x:c>
      <x:c r="E579" s="24" t="n">
        <x:v>12384365</x:v>
      </x:c>
      <x:c r="F579" s="23" t="str">
        <x:v>ERP simulado</x:v>
      </x:c>
      <x:c r="G579" s="23" t="str">
        <x:v>Actual</x:v>
      </x:c>
      <x:c r="H579" s="23" t="str">
        <x:v>EUR</x:v>
      </x:c>
    </x:row>
    <x:row r="580">
      <x:c r="A580" s="23" t="str">
        <x:v>2026-10</x:v>
      </x:c>
      <x:c r="B580" s="23" t="str">
        <x:v>2026-10-31</x:v>
      </x:c>
      <x:c r="C580" s="23" t="str">
        <x:v>1000</x:v>
      </x:c>
      <x:c r="D580" s="23" t="str">
        <x:v>Efectivo y equivalentes</x:v>
      </x:c>
      <x:c r="E580" s="24" t="n">
        <x:v>8347633</x:v>
      </x:c>
      <x:c r="F580" s="23" t="str">
        <x:v>ERP simulado</x:v>
      </x:c>
      <x:c r="G580" s="23" t="str">
        <x:v>Actual</x:v>
      </x:c>
      <x:c r="H580" s="23" t="str">
        <x:v>EUR</x:v>
      </x:c>
    </x:row>
    <x:row r="581">
      <x:c r="A581" s="23" t="str">
        <x:v>2026-10</x:v>
      </x:c>
      <x:c r="B581" s="23" t="str">
        <x:v>2026-10-31</x:v>
      </x:c>
      <x:c r="C581" s="23" t="str">
        <x:v>1100</x:v>
      </x:c>
      <x:c r="D581" s="23" t="str">
        <x:v>Clientes</x:v>
      </x:c>
      <x:c r="E581" s="24" t="n">
        <x:v>6620074</x:v>
      </x:c>
      <x:c r="F581" s="23" t="str">
        <x:v>ERP simulado</x:v>
      </x:c>
      <x:c r="G581" s="23" t="str">
        <x:v>Actual</x:v>
      </x:c>
      <x:c r="H581" s="23" t="str">
        <x:v>EUR</x:v>
      </x:c>
    </x:row>
    <x:row r="582">
      <x:c r="A582" s="23" t="str">
        <x:v>2026-10</x:v>
      </x:c>
      <x:c r="B582" s="23" t="str">
        <x:v>2026-10-31</x:v>
      </x:c>
      <x:c r="C582" s="23" t="str">
        <x:v>1200</x:v>
      </x:c>
      <x:c r="D582" s="23" t="str">
        <x:v>Existencias</x:v>
      </x:c>
      <x:c r="E582" s="24" t="n">
        <x:v>3684518</x:v>
      </x:c>
      <x:c r="F582" s="23" t="str">
        <x:v>ERP simulado</x:v>
      </x:c>
      <x:c r="G582" s="23" t="str">
        <x:v>Actual</x:v>
      </x:c>
      <x:c r="H582" s="23" t="str">
        <x:v>EUR</x:v>
      </x:c>
    </x:row>
    <x:row r="583">
      <x:c r="A583" s="23" t="str">
        <x:v>2026-10</x:v>
      </x:c>
      <x:c r="B583" s="23" t="str">
        <x:v>2026-10-31</x:v>
      </x:c>
      <x:c r="C583" s="23" t="str">
        <x:v>1300</x:v>
      </x:c>
      <x:c r="D583" s="23" t="str">
        <x:v>Pagos anticipados y otros activos corrientes</x:v>
      </x:c>
      <x:c r="E583" s="24" t="n">
        <x:v>815527</x:v>
      </x:c>
      <x:c r="F583" s="23" t="str">
        <x:v>ERP simulado</x:v>
      </x:c>
      <x:c r="G583" s="23" t="str">
        <x:v>Actual</x:v>
      </x:c>
      <x:c r="H583" s="23" t="str">
        <x:v>EUR</x:v>
      </x:c>
    </x:row>
    <x:row r="584">
      <x:c r="A584" s="23" t="str">
        <x:v>2026-10</x:v>
      </x:c>
      <x:c r="B584" s="23" t="str">
        <x:v>2026-10-31</x:v>
      </x:c>
      <x:c r="C584" s="23" t="str">
        <x:v>1400</x:v>
      </x:c>
      <x:c r="D584" s="23" t="str">
        <x:v>Inmovilizado material neto</x:v>
      </x:c>
      <x:c r="E584" s="24" t="n">
        <x:v>8168976</x:v>
      </x:c>
      <x:c r="F584" s="23" t="str">
        <x:v>ERP simulado</x:v>
      </x:c>
      <x:c r="G584" s="23" t="str">
        <x:v>Actual</x:v>
      </x:c>
      <x:c r="H584" s="23" t="str">
        <x:v>EUR</x:v>
      </x:c>
    </x:row>
    <x:row r="585">
      <x:c r="A585" s="23" t="str">
        <x:v>2026-10</x:v>
      </x:c>
      <x:c r="B585" s="23" t="str">
        <x:v>2026-10-31</x:v>
      </x:c>
      <x:c r="C585" s="23" t="str">
        <x:v>1500</x:v>
      </x:c>
      <x:c r="D585" s="23" t="str">
        <x:v>Activos intangibles netos</x:v>
      </x:c>
      <x:c r="E585" s="24" t="n">
        <x:v>1095650</x:v>
      </x:c>
      <x:c r="F585" s="23" t="str">
        <x:v>ERP simulado</x:v>
      </x:c>
      <x:c r="G585" s="23" t="str">
        <x:v>Actual</x:v>
      </x:c>
      <x:c r="H585" s="23" t="str">
        <x:v>EUR</x:v>
      </x:c>
    </x:row>
    <x:row r="586">
      <x:c r="A586" s="23" t="str">
        <x:v>2026-10</x:v>
      </x:c>
      <x:c r="B586" s="23" t="str">
        <x:v>2026-10-31</x:v>
      </x:c>
      <x:c r="C586" s="23" t="str">
        <x:v>1600</x:v>
      </x:c>
      <x:c r="D586" s="23" t="str">
        <x:v>Otros activos no corrientes</x:v>
      </x:c>
      <x:c r="E586" s="24" t="n">
        <x:v>800000</x:v>
      </x:c>
      <x:c r="F586" s="23" t="str">
        <x:v>ERP simulado</x:v>
      </x:c>
      <x:c r="G586" s="23" t="str">
        <x:v>Actual</x:v>
      </x:c>
      <x:c r="H586" s="23" t="str">
        <x:v>EUR</x:v>
      </x:c>
    </x:row>
    <x:row r="587">
      <x:c r="A587" s="23" t="str">
        <x:v>2026-10</x:v>
      </x:c>
      <x:c r="B587" s="23" t="str">
        <x:v>2026-10-31</x:v>
      </x:c>
      <x:c r="C587" s="23" t="str">
        <x:v>2000</x:v>
      </x:c>
      <x:c r="D587" s="23" t="str">
        <x:v>Proveedores</x:v>
      </x:c>
      <x:c r="E587" s="24" t="n">
        <x:v>3812992</x:v>
      </x:c>
      <x:c r="F587" s="23" t="str">
        <x:v>ERP simulado</x:v>
      </x:c>
      <x:c r="G587" s="23" t="str">
        <x:v>Actual</x:v>
      </x:c>
      <x:c r="H587" s="23" t="str">
        <x:v>EUR</x:v>
      </x:c>
    </x:row>
    <x:row r="588">
      <x:c r="A588" s="23" t="str">
        <x:v>2026-10</x:v>
      </x:c>
      <x:c r="B588" s="23" t="str">
        <x:v>2026-10-31</x:v>
      </x:c>
      <x:c r="C588" s="23" t="str">
        <x:v>2100</x:v>
      </x:c>
      <x:c r="D588" s="23" t="str">
        <x:v>Acreedores y gastos devengados</x:v>
      </x:c>
      <x:c r="E588" s="24" t="n">
        <x:v>1165038</x:v>
      </x:c>
      <x:c r="F588" s="23" t="str">
        <x:v>ERP simulado</x:v>
      </x:c>
      <x:c r="G588" s="23" t="str">
        <x:v>Actual</x:v>
      </x:c>
      <x:c r="H588" s="23" t="str">
        <x:v>EUR</x:v>
      </x:c>
    </x:row>
    <x:row r="589">
      <x:c r="A589" s="23" t="str">
        <x:v>2026-10</x:v>
      </x:c>
      <x:c r="B589" s="23" t="str">
        <x:v>2026-10-31</x:v>
      </x:c>
      <x:c r="C589" s="23" t="str">
        <x:v>2200</x:v>
      </x:c>
      <x:c r="D589" s="23" t="str">
        <x:v>Impuestos a pagar</x:v>
      </x:c>
      <x:c r="E589" s="24" t="n">
        <x:v>153615</x:v>
      </x:c>
      <x:c r="F589" s="23" t="str">
        <x:v>ERP simulado</x:v>
      </x:c>
      <x:c r="G589" s="23" t="str">
        <x:v>Actual</x:v>
      </x:c>
      <x:c r="H589" s="23" t="str">
        <x:v>EUR</x:v>
      </x:c>
    </x:row>
    <x:row r="590">
      <x:c r="A590" s="23" t="str">
        <x:v>2026-10</x:v>
      </x:c>
      <x:c r="B590" s="23" t="str">
        <x:v>2026-10-31</x:v>
      </x:c>
      <x:c r="C590" s="23" t="str">
        <x:v>2300</x:v>
      </x:c>
      <x:c r="D590" s="23" t="str">
        <x:v>Deuda financiera corriente</x:v>
      </x:c>
      <x:c r="E590" s="24" t="n">
        <x:v>1145000</x:v>
      </x:c>
      <x:c r="F590" s="23" t="str">
        <x:v>ERP simulado</x:v>
      </x:c>
      <x:c r="G590" s="23" t="str">
        <x:v>Actual</x:v>
      </x:c>
      <x:c r="H590" s="23" t="str">
        <x:v>EUR</x:v>
      </x:c>
    </x:row>
    <x:row r="591">
      <x:c r="A591" s="23" t="str">
        <x:v>2026-10</x:v>
      </x:c>
      <x:c r="B591" s="23" t="str">
        <x:v>2026-10-31</x:v>
      </x:c>
      <x:c r="C591" s="23" t="str">
        <x:v>2400</x:v>
      </x:c>
      <x:c r="D591" s="23" t="str">
        <x:v>Pasivos por arrendamiento corrientes</x:v>
      </x:c>
      <x:c r="E591" s="24" t="n">
        <x:v>45000</x:v>
      </x:c>
      <x:c r="F591" s="23" t="str">
        <x:v>ERP simulado</x:v>
      </x:c>
      <x:c r="G591" s="23" t="str">
        <x:v>Actual</x:v>
      </x:c>
      <x:c r="H591" s="23" t="str">
        <x:v>EUR</x:v>
      </x:c>
    </x:row>
    <x:row r="592">
      <x:c r="A592" s="23" t="str">
        <x:v>2026-10</x:v>
      </x:c>
      <x:c r="B592" s="23" t="str">
        <x:v>2026-10-31</x:v>
      </x:c>
      <x:c r="C592" s="23" t="str">
        <x:v>2500</x:v>
      </x:c>
      <x:c r="D592" s="23" t="str">
        <x:v>Deuda financiera no corriente</x:v>
      </x:c>
      <x:c r="E592" s="24" t="n">
        <x:v>4580000</x:v>
      </x:c>
      <x:c r="F592" s="23" t="str">
        <x:v>ERP simulado</x:v>
      </x:c>
      <x:c r="G592" s="23" t="str">
        <x:v>Actual</x:v>
      </x:c>
      <x:c r="H592" s="23" t="str">
        <x:v>EUR</x:v>
      </x:c>
    </x:row>
    <x:row r="593">
      <x:c r="A593" s="23" t="str">
        <x:v>2026-10</x:v>
      </x:c>
      <x:c r="B593" s="23" t="str">
        <x:v>2026-10-31</x:v>
      </x:c>
      <x:c r="C593" s="23" t="str">
        <x:v>2600</x:v>
      </x:c>
      <x:c r="D593" s="23" t="str">
        <x:v>Pasivos por arrendamiento no corrientes</x:v>
      </x:c>
      <x:c r="E593" s="24" t="n">
        <x:v>105000</x:v>
      </x:c>
      <x:c r="F593" s="23" t="str">
        <x:v>ERP simulado</x:v>
      </x:c>
      <x:c r="G593" s="23" t="str">
        <x:v>Actual</x:v>
      </x:c>
      <x:c r="H593" s="23" t="str">
        <x:v>EUR</x:v>
      </x:c>
    </x:row>
    <x:row r="594">
      <x:c r="A594" s="23" t="str">
        <x:v>2026-10</x:v>
      </x:c>
      <x:c r="B594" s="23" t="str">
        <x:v>2026-10-31</x:v>
      </x:c>
      <x:c r="C594" s="23" t="str">
        <x:v>2700</x:v>
      </x:c>
      <x:c r="D594" s="23" t="str">
        <x:v>Otros pasivos</x:v>
      </x:c>
      <x:c r="E594" s="24" t="n">
        <x:v>800000</x:v>
      </x:c>
      <x:c r="F594" s="23" t="str">
        <x:v>ERP simulado</x:v>
      </x:c>
      <x:c r="G594" s="23" t="str">
        <x:v>Actual</x:v>
      </x:c>
      <x:c r="H594" s="23" t="str">
        <x:v>EUR</x:v>
      </x:c>
    </x:row>
    <x:row r="595">
      <x:c r="A595" s="23" t="str">
        <x:v>2026-10</x:v>
      </x:c>
      <x:c r="B595" s="23" t="str">
        <x:v>2026-10-31</x:v>
      </x:c>
      <x:c r="C595" s="23" t="str">
        <x:v>3000</x:v>
      </x:c>
      <x:c r="D595" s="23" t="str">
        <x:v>Capital social</x:v>
      </x:c>
      <x:c r="E595" s="24" t="n">
        <x:v>5000000</x:v>
      </x:c>
      <x:c r="F595" s="23" t="str">
        <x:v>ERP simulado</x:v>
      </x:c>
      <x:c r="G595" s="23" t="str">
        <x:v>Actual</x:v>
      </x:c>
      <x:c r="H595" s="23" t="str">
        <x:v>EUR</x:v>
      </x:c>
    </x:row>
    <x:row r="596">
      <x:c r="A596" s="23" t="str">
        <x:v>2026-10</x:v>
      </x:c>
      <x:c r="B596" s="23" t="str">
        <x:v>2026-10-31</x:v>
      </x:c>
      <x:c r="C596" s="23" t="str">
        <x:v>3100</x:v>
      </x:c>
      <x:c r="D596" s="23" t="str">
        <x:v>Resultados acumulados</x:v>
      </x:c>
      <x:c r="E596" s="24" t="n">
        <x:v>12725733</x:v>
      </x:c>
      <x:c r="F596" s="23" t="str">
        <x:v>ERP simulado</x:v>
      </x:c>
      <x:c r="G596" s="23" t="str">
        <x:v>Actual</x:v>
      </x:c>
      <x:c r="H596" s="23" t="str">
        <x:v>EUR</x:v>
      </x:c>
    </x:row>
    <x:row r="597">
      <x:c r="A597" s="23" t="str">
        <x:v>2026-11</x:v>
      </x:c>
      <x:c r="B597" s="23" t="str">
        <x:v>2026-11-30</x:v>
      </x:c>
      <x:c r="C597" s="23" t="str">
        <x:v>1000</x:v>
      </x:c>
      <x:c r="D597" s="23" t="str">
        <x:v>Efectivo y equivalentes</x:v>
      </x:c>
      <x:c r="E597" s="24" t="n">
        <x:v>8376274</x:v>
      </x:c>
      <x:c r="F597" s="23" t="str">
        <x:v>ERP simulado</x:v>
      </x:c>
      <x:c r="G597" s="23" t="str">
        <x:v>Actual</x:v>
      </x:c>
      <x:c r="H597" s="23" t="str">
        <x:v>EUR</x:v>
      </x:c>
    </x:row>
    <x:row r="598">
      <x:c r="A598" s="23" t="str">
        <x:v>2026-11</x:v>
      </x:c>
      <x:c r="B598" s="23" t="str">
        <x:v>2026-11-30</x:v>
      </x:c>
      <x:c r="C598" s="23" t="str">
        <x:v>1100</x:v>
      </x:c>
      <x:c r="D598" s="23" t="str">
        <x:v>Clientes</x:v>
      </x:c>
      <x:c r="E598" s="24" t="n">
        <x:v>7096144</x:v>
      </x:c>
      <x:c r="F598" s="23" t="str">
        <x:v>ERP simulado</x:v>
      </x:c>
      <x:c r="G598" s="23" t="str">
        <x:v>Actual</x:v>
      </x:c>
      <x:c r="H598" s="23" t="str">
        <x:v>EUR</x:v>
      </x:c>
    </x:row>
    <x:row r="599">
      <x:c r="A599" s="23" t="str">
        <x:v>2026-11</x:v>
      </x:c>
      <x:c r="B599" s="23" t="str">
        <x:v>2026-11-30</x:v>
      </x:c>
      <x:c r="C599" s="23" t="str">
        <x:v>1200</x:v>
      </x:c>
      <x:c r="D599" s="23" t="str">
        <x:v>Existencias</x:v>
      </x:c>
      <x:c r="E599" s="24" t="n">
        <x:v>3948817</x:v>
      </x:c>
      <x:c r="F599" s="23" t="str">
        <x:v>ERP simulado</x:v>
      </x:c>
      <x:c r="G599" s="23" t="str">
        <x:v>Actual</x:v>
      </x:c>
      <x:c r="H599" s="23" t="str">
        <x:v>EUR</x:v>
      </x:c>
    </x:row>
    <x:row r="600">
      <x:c r="A600" s="23" t="str">
        <x:v>2026-11</x:v>
      </x:c>
      <x:c r="B600" s="23" t="str">
        <x:v>2026-11-30</x:v>
      </x:c>
      <x:c r="C600" s="23" t="str">
        <x:v>1300</x:v>
      </x:c>
      <x:c r="D600" s="23" t="str">
        <x:v>Pagos anticipados y otros activos corrientes</x:v>
      </x:c>
      <x:c r="E600" s="24" t="n">
        <x:v>849967</x:v>
      </x:c>
      <x:c r="F600" s="23" t="str">
        <x:v>ERP simulado</x:v>
      </x:c>
      <x:c r="G600" s="23" t="str">
        <x:v>Actual</x:v>
      </x:c>
      <x:c r="H600" s="23" t="str">
        <x:v>EUR</x:v>
      </x:c>
    </x:row>
    <x:row r="601">
      <x:c r="A601" s="23" t="str">
        <x:v>2026-11</x:v>
      </x:c>
      <x:c r="B601" s="23" t="str">
        <x:v>2026-11-30</x:v>
      </x:c>
      <x:c r="C601" s="23" t="str">
        <x:v>1400</x:v>
      </x:c>
      <x:c r="D601" s="23" t="str">
        <x:v>Inmovilizado material neto</x:v>
      </x:c>
      <x:c r="E601" s="24" t="n">
        <x:v>8095389</x:v>
      </x:c>
      <x:c r="F601" s="23" t="str">
        <x:v>ERP simulado</x:v>
      </x:c>
      <x:c r="G601" s="23" t="str">
        <x:v>Actual</x:v>
      </x:c>
      <x:c r="H601" s="23" t="str">
        <x:v>EUR</x:v>
      </x:c>
    </x:row>
    <x:row r="602">
      <x:c r="A602" s="23" t="str">
        <x:v>2026-11</x:v>
      </x:c>
      <x:c r="B602" s="23" t="str">
        <x:v>2026-11-30</x:v>
      </x:c>
      <x:c r="C602" s="23" t="str">
        <x:v>1500</x:v>
      </x:c>
      <x:c r="D602" s="23" t="str">
        <x:v>Activos intangibles netos</x:v>
      </x:c>
      <x:c r="E602" s="24" t="n">
        <x:v>1076750</x:v>
      </x:c>
      <x:c r="F602" s="23" t="str">
        <x:v>ERP simulado</x:v>
      </x:c>
      <x:c r="G602" s="23" t="str">
        <x:v>Actual</x:v>
      </x:c>
      <x:c r="H602" s="23" t="str">
        <x:v>EUR</x:v>
      </x:c>
    </x:row>
    <x:row r="603">
      <x:c r="A603" s="23" t="str">
        <x:v>2026-11</x:v>
      </x:c>
      <x:c r="B603" s="23" t="str">
        <x:v>2026-11-30</x:v>
      </x:c>
      <x:c r="C603" s="23" t="str">
        <x:v>1600</x:v>
      </x:c>
      <x:c r="D603" s="23" t="str">
        <x:v>Otros activos no corrientes</x:v>
      </x:c>
      <x:c r="E603" s="24" t="n">
        <x:v>800000</x:v>
      </x:c>
      <x:c r="F603" s="23" t="str">
        <x:v>ERP simulado</x:v>
      </x:c>
      <x:c r="G603" s="23" t="str">
        <x:v>Actual</x:v>
      </x:c>
      <x:c r="H603" s="23" t="str">
        <x:v>EUR</x:v>
      </x:c>
    </x:row>
    <x:row r="604">
      <x:c r="A604" s="23" t="str">
        <x:v>2026-11</x:v>
      </x:c>
      <x:c r="B604" s="23" t="str">
        <x:v>2026-11-30</x:v>
      </x:c>
      <x:c r="C604" s="23" t="str">
        <x:v>2000</x:v>
      </x:c>
      <x:c r="D604" s="23" t="str">
        <x:v>Proveedores</x:v>
      </x:c>
      <x:c r="E604" s="24" t="n">
        <x:v>4126756</x:v>
      </x:c>
      <x:c r="F604" s="23" t="str">
        <x:v>ERP simulado</x:v>
      </x:c>
      <x:c r="G604" s="23" t="str">
        <x:v>Actual</x:v>
      </x:c>
      <x:c r="H604" s="23" t="str">
        <x:v>EUR</x:v>
      </x:c>
    </x:row>
    <x:row r="605">
      <x:c r="A605" s="23" t="str">
        <x:v>2026-11</x:v>
      </x:c>
      <x:c r="B605" s="23" t="str">
        <x:v>2026-11-30</x:v>
      </x:c>
      <x:c r="C605" s="23" t="str">
        <x:v>2100</x:v>
      </x:c>
      <x:c r="D605" s="23" t="str">
        <x:v>Acreedores y gastos devengados</x:v>
      </x:c>
      <x:c r="E605" s="24" t="n">
        <x:v>1214239</x:v>
      </x:c>
      <x:c r="F605" s="23" t="str">
        <x:v>ERP simulado</x:v>
      </x:c>
      <x:c r="G605" s="23" t="str">
        <x:v>Actual</x:v>
      </x:c>
      <x:c r="H605" s="23" t="str">
        <x:v>EUR</x:v>
      </x:c>
    </x:row>
    <x:row r="606">
      <x:c r="A606" s="23" t="str">
        <x:v>2026-11</x:v>
      </x:c>
      <x:c r="B606" s="23" t="str">
        <x:v>2026-11-30</x:v>
      </x:c>
      <x:c r="C606" s="23" t="str">
        <x:v>2200</x:v>
      </x:c>
      <x:c r="D606" s="23" t="str">
        <x:v>Impuestos a pagar</x:v>
      </x:c>
      <x:c r="E606" s="24" t="n">
        <x:v>163432</x:v>
      </x:c>
      <x:c r="F606" s="23" t="str">
        <x:v>ERP simulado</x:v>
      </x:c>
      <x:c r="G606" s="23" t="str">
        <x:v>Actual</x:v>
      </x:c>
      <x:c r="H606" s="23" t="str">
        <x:v>EUR</x:v>
      </x:c>
    </x:row>
    <x:row r="607">
      <x:c r="A607" s="23" t="str">
        <x:v>2026-11</x:v>
      </x:c>
      <x:c r="B607" s="23" t="str">
        <x:v>2026-11-30</x:v>
      </x:c>
      <x:c r="C607" s="23" t="str">
        <x:v>2300</x:v>
      </x:c>
      <x:c r="D607" s="23" t="str">
        <x:v>Deuda financiera corriente</x:v>
      </x:c>
      <x:c r="E607" s="24" t="n">
        <x:v>1145000</x:v>
      </x:c>
      <x:c r="F607" s="23" t="str">
        <x:v>ERP simulado</x:v>
      </x:c>
      <x:c r="G607" s="23" t="str">
        <x:v>Actual</x:v>
      </x:c>
      <x:c r="H607" s="23" t="str">
        <x:v>EUR</x:v>
      </x:c>
    </x:row>
    <x:row r="608">
      <x:c r="A608" s="23" t="str">
        <x:v>2026-11</x:v>
      </x:c>
      <x:c r="B608" s="23" t="str">
        <x:v>2026-11-30</x:v>
      </x:c>
      <x:c r="C608" s="23" t="str">
        <x:v>2400</x:v>
      </x:c>
      <x:c r="D608" s="23" t="str">
        <x:v>Pasivos por arrendamiento corrientes</x:v>
      </x:c>
      <x:c r="E608" s="24" t="n">
        <x:v>37500</x:v>
      </x:c>
      <x:c r="F608" s="23" t="str">
        <x:v>ERP simulado</x:v>
      </x:c>
      <x:c r="G608" s="23" t="str">
        <x:v>Actual</x:v>
      </x:c>
      <x:c r="H608" s="23" t="str">
        <x:v>EUR</x:v>
      </x:c>
    </x:row>
    <x:row r="609">
      <x:c r="A609" s="23" t="str">
        <x:v>2026-11</x:v>
      </x:c>
      <x:c r="B609" s="23" t="str">
        <x:v>2026-11-30</x:v>
      </x:c>
      <x:c r="C609" s="23" t="str">
        <x:v>2500</x:v>
      </x:c>
      <x:c r="D609" s="23" t="str">
        <x:v>Deuda financiera no corriente</x:v>
      </x:c>
      <x:c r="E609" s="24" t="n">
        <x:v>4580000</x:v>
      </x:c>
      <x:c r="F609" s="23" t="str">
        <x:v>ERP simulado</x:v>
      </x:c>
      <x:c r="G609" s="23" t="str">
        <x:v>Actual</x:v>
      </x:c>
      <x:c r="H609" s="23" t="str">
        <x:v>EUR</x:v>
      </x:c>
    </x:row>
    <x:row r="610">
      <x:c r="A610" s="23" t="str">
        <x:v>2026-11</x:v>
      </x:c>
      <x:c r="B610" s="23" t="str">
        <x:v>2026-11-30</x:v>
      </x:c>
      <x:c r="C610" s="23" t="str">
        <x:v>2600</x:v>
      </x:c>
      <x:c r="D610" s="23" t="str">
        <x:v>Pasivos por arrendamiento no corrientes</x:v>
      </x:c>
      <x:c r="E610" s="24" t="n">
        <x:v>87500</x:v>
      </x:c>
      <x:c r="F610" s="23" t="str">
        <x:v>ERP simulado</x:v>
      </x:c>
      <x:c r="G610" s="23" t="str">
        <x:v>Actual</x:v>
      </x:c>
      <x:c r="H610" s="23" t="str">
        <x:v>EUR</x:v>
      </x:c>
    </x:row>
    <x:row r="611">
      <x:c r="A611" s="23" t="str">
        <x:v>2026-11</x:v>
      </x:c>
      <x:c r="B611" s="23" t="str">
        <x:v>2026-11-30</x:v>
      </x:c>
      <x:c r="C611" s="23" t="str">
        <x:v>2700</x:v>
      </x:c>
      <x:c r="D611" s="23" t="str">
        <x:v>Otros pasivos</x:v>
      </x:c>
      <x:c r="E611" s="24" t="n">
        <x:v>800000</x:v>
      </x:c>
      <x:c r="F611" s="23" t="str">
        <x:v>ERP simulado</x:v>
      </x:c>
      <x:c r="G611" s="23" t="str">
        <x:v>Actual</x:v>
      </x:c>
      <x:c r="H611" s="23" t="str">
        <x:v>EUR</x:v>
      </x:c>
    </x:row>
    <x:row r="612">
      <x:c r="A612" s="23" t="str">
        <x:v>2026-11</x:v>
      </x:c>
      <x:c r="B612" s="23" t="str">
        <x:v>2026-11-30</x:v>
      </x:c>
      <x:c r="C612" s="23" t="str">
        <x:v>3000</x:v>
      </x:c>
      <x:c r="D612" s="23" t="str">
        <x:v>Capital social</x:v>
      </x:c>
      <x:c r="E612" s="24" t="n">
        <x:v>5000000</x:v>
      </x:c>
      <x:c r="F612" s="23" t="str">
        <x:v>ERP simulado</x:v>
      </x:c>
      <x:c r="G612" s="23" t="str">
        <x:v>Actual</x:v>
      </x:c>
      <x:c r="H612" s="23" t="str">
        <x:v>EUR</x:v>
      </x:c>
    </x:row>
    <x:row r="613">
      <x:c r="A613" s="23" t="str">
        <x:v>2026-11</x:v>
      </x:c>
      <x:c r="B613" s="23" t="str">
        <x:v>2026-11-30</x:v>
      </x:c>
      <x:c r="C613" s="23" t="str">
        <x:v>3100</x:v>
      </x:c>
      <x:c r="D613" s="23" t="str">
        <x:v>Resultados acumulados</x:v>
      </x:c>
      <x:c r="E613" s="24" t="n">
        <x:v>13088914</x:v>
      </x:c>
      <x:c r="F613" s="23" t="str">
        <x:v>ERP simulado</x:v>
      </x:c>
      <x:c r="G613" s="23" t="str">
        <x:v>Actual</x:v>
      </x:c>
      <x:c r="H613" s="23" t="str">
        <x:v>EUR</x:v>
      </x:c>
    </x:row>
    <x:row r="614">
      <x:c r="A614" s="23" t="str">
        <x:v>2026-12</x:v>
      </x:c>
      <x:c r="B614" s="23" t="str">
        <x:v>2026-12-31</x:v>
      </x:c>
      <x:c r="C614" s="23" t="str">
        <x:v>1000</x:v>
      </x:c>
      <x:c r="D614" s="23" t="str">
        <x:v>Efectivo y equivalentes</x:v>
      </x:c>
      <x:c r="E614" s="24" t="n">
        <x:v>8049522</x:v>
      </x:c>
      <x:c r="F614" s="23" t="str">
        <x:v>ERP simulado</x:v>
      </x:c>
      <x:c r="G614" s="23" t="str">
        <x:v>Actual</x:v>
      </x:c>
      <x:c r="H614" s="23" t="str">
        <x:v>EUR</x:v>
      </x:c>
    </x:row>
    <x:row r="615">
      <x:c r="A615" s="23" t="str">
        <x:v>2026-12</x:v>
      </x:c>
      <x:c r="B615" s="23" t="str">
        <x:v>2026-12-31</x:v>
      </x:c>
      <x:c r="C615" s="23" t="str">
        <x:v>1100</x:v>
      </x:c>
      <x:c r="D615" s="23" t="str">
        <x:v>Clientes</x:v>
      </x:c>
      <x:c r="E615" s="24" t="n">
        <x:v>7345561</x:v>
      </x:c>
      <x:c r="F615" s="23" t="str">
        <x:v>ERP simulado</x:v>
      </x:c>
      <x:c r="G615" s="23" t="str">
        <x:v>Actual</x:v>
      </x:c>
      <x:c r="H615" s="23" t="str">
        <x:v>EUR</x:v>
      </x:c>
    </x:row>
    <x:row r="616">
      <x:c r="A616" s="23" t="str">
        <x:v>2026-12</x:v>
      </x:c>
      <x:c r="B616" s="23" t="str">
        <x:v>2026-12-31</x:v>
      </x:c>
      <x:c r="C616" s="23" t="str">
        <x:v>1200</x:v>
      </x:c>
      <x:c r="D616" s="23" t="str">
        <x:v>Existencias</x:v>
      </x:c>
      <x:c r="E616" s="24" t="n">
        <x:v>4086060</x:v>
      </x:c>
      <x:c r="F616" s="23" t="str">
        <x:v>ERP simulado</x:v>
      </x:c>
      <x:c r="G616" s="23" t="str">
        <x:v>Actual</x:v>
      </x:c>
      <x:c r="H616" s="23" t="str">
        <x:v>EUR</x:v>
      </x:c>
    </x:row>
    <x:row r="617">
      <x:c r="A617" s="23" t="str">
        <x:v>2026-12</x:v>
      </x:c>
      <x:c r="B617" s="23" t="str">
        <x:v>2026-12-31</x:v>
      </x:c>
      <x:c r="C617" s="23" t="str">
        <x:v>1300</x:v>
      </x:c>
      <x:c r="D617" s="23" t="str">
        <x:v>Pagos anticipados y otros activos corrientes</x:v>
      </x:c>
      <x:c r="E617" s="24" t="n">
        <x:v>915217</x:v>
      </x:c>
      <x:c r="F617" s="23" t="str">
        <x:v>ERP simulado</x:v>
      </x:c>
      <x:c r="G617" s="23" t="str">
        <x:v>Actual</x:v>
      </x:c>
      <x:c r="H617" s="23" t="str">
        <x:v>EUR</x:v>
      </x:c>
    </x:row>
    <x:row r="618">
      <x:c r="A618" s="23" t="str">
        <x:v>2026-12</x:v>
      </x:c>
      <x:c r="B618" s="23" t="str">
        <x:v>2026-12-31</x:v>
      </x:c>
      <x:c r="C618" s="23" t="str">
        <x:v>1400</x:v>
      </x:c>
      <x:c r="D618" s="23" t="str">
        <x:v>Inmovilizado material neto</x:v>
      </x:c>
      <x:c r="E618" s="24" t="n">
        <x:v>8023310</x:v>
      </x:c>
      <x:c r="F618" s="23" t="str">
        <x:v>ERP simulado</x:v>
      </x:c>
      <x:c r="G618" s="23" t="str">
        <x:v>Actual</x:v>
      </x:c>
      <x:c r="H618" s="23" t="str">
        <x:v>EUR</x:v>
      </x:c>
    </x:row>
    <x:row r="619">
      <x:c r="A619" s="23" t="str">
        <x:v>2026-12</x:v>
      </x:c>
      <x:c r="B619" s="23" t="str">
        <x:v>2026-12-31</x:v>
      </x:c>
      <x:c r="C619" s="23" t="str">
        <x:v>1500</x:v>
      </x:c>
      <x:c r="D619" s="23" t="str">
        <x:v>Activos intangibles netos</x:v>
      </x:c>
      <x:c r="E619" s="24" t="n">
        <x:v>1087500</x:v>
      </x:c>
      <x:c r="F619" s="23" t="str">
        <x:v>ERP simulado</x:v>
      </x:c>
      <x:c r="G619" s="23" t="str">
        <x:v>Actual</x:v>
      </x:c>
      <x:c r="H619" s="23" t="str">
        <x:v>EUR</x:v>
      </x:c>
    </x:row>
    <x:row r="620">
      <x:c r="A620" s="23" t="str">
        <x:v>2026-12</x:v>
      </x:c>
      <x:c r="B620" s="23" t="str">
        <x:v>2026-12-31</x:v>
      </x:c>
      <x:c r="C620" s="23" t="str">
        <x:v>1600</x:v>
      </x:c>
      <x:c r="D620" s="23" t="str">
        <x:v>Otros activos no corrientes</x:v>
      </x:c>
      <x:c r="E620" s="24" t="n">
        <x:v>800000</x:v>
      </x:c>
      <x:c r="F620" s="23" t="str">
        <x:v>ERP simulado</x:v>
      </x:c>
      <x:c r="G620" s="23" t="str">
        <x:v>Actual</x:v>
      </x:c>
      <x:c r="H620" s="23" t="str">
        <x:v>EUR</x:v>
      </x:c>
    </x:row>
    <x:row r="621">
      <x:c r="A621" s="23" t="str">
        <x:v>2026-12</x:v>
      </x:c>
      <x:c r="B621" s="23" t="str">
        <x:v>2026-12-31</x:v>
      </x:c>
      <x:c r="C621" s="23" t="str">
        <x:v>2000</x:v>
      </x:c>
      <x:c r="D621" s="23" t="str">
        <x:v>Proveedores</x:v>
      </x:c>
      <x:c r="E621" s="24" t="n">
        <x:v>4324001</x:v>
      </x:c>
      <x:c r="F621" s="23" t="str">
        <x:v>ERP simulado</x:v>
      </x:c>
      <x:c r="G621" s="23" t="str">
        <x:v>Actual</x:v>
      </x:c>
      <x:c r="H621" s="23" t="str">
        <x:v>EUR</x:v>
      </x:c>
    </x:row>
    <x:row r="622">
      <x:c r="A622" s="23" t="str">
        <x:v>2026-12</x:v>
      </x:c>
      <x:c r="B622" s="23" t="str">
        <x:v>2026-12-31</x:v>
      </x:c>
      <x:c r="C622" s="23" t="str">
        <x:v>2100</x:v>
      </x:c>
      <x:c r="D622" s="23" t="str">
        <x:v>Acreedores y gastos devengados</x:v>
      </x:c>
      <x:c r="E622" s="24" t="n">
        <x:v>1307453</x:v>
      </x:c>
      <x:c r="F622" s="23" t="str">
        <x:v>ERP simulado</x:v>
      </x:c>
      <x:c r="G622" s="23" t="str">
        <x:v>Actual</x:v>
      </x:c>
      <x:c r="H622" s="23" t="str">
        <x:v>EUR</x:v>
      </x:c>
    </x:row>
    <x:row r="623">
      <x:c r="A623" s="23" t="str">
        <x:v>2026-12</x:v>
      </x:c>
      <x:c r="B623" s="23" t="str">
        <x:v>2026-12-31</x:v>
      </x:c>
      <x:c r="C623" s="23" t="str">
        <x:v>2200</x:v>
      </x:c>
      <x:c r="D623" s="23" t="str">
        <x:v>Impuestos a pagar</x:v>
      </x:c>
      <x:c r="E623" s="24" t="n">
        <x:v>182111</x:v>
      </x:c>
      <x:c r="F623" s="23" t="str">
        <x:v>ERP simulado</x:v>
      </x:c>
      <x:c r="G623" s="23" t="str">
        <x:v>Actual</x:v>
      </x:c>
      <x:c r="H623" s="23" t="str">
        <x:v>EUR</x:v>
      </x:c>
    </x:row>
    <x:row r="624">
      <x:c r="A624" s="23" t="str">
        <x:v>2026-12</x:v>
      </x:c>
      <x:c r="B624" s="23" t="str">
        <x:v>2026-12-31</x:v>
      </x:c>
      <x:c r="C624" s="23" t="str">
        <x:v>2300</x:v>
      </x:c>
      <x:c r="D624" s="23" t="str">
        <x:v>Deuda financiera corriente</x:v>
      </x:c>
      <x:c r="E624" s="24" t="n">
        <x:v>1070000</x:v>
      </x:c>
      <x:c r="F624" s="23" t="str">
        <x:v>ERP simulado</x:v>
      </x:c>
      <x:c r="G624" s="23" t="str">
        <x:v>Actual</x:v>
      </x:c>
      <x:c r="H624" s="23" t="str">
        <x:v>EUR</x:v>
      </x:c>
    </x:row>
    <x:row r="625">
      <x:c r="A625" s="23" t="str">
        <x:v>2026-12</x:v>
      </x:c>
      <x:c r="B625" s="23" t="str">
        <x:v>2026-12-31</x:v>
      </x:c>
      <x:c r="C625" s="23" t="str">
        <x:v>2400</x:v>
      </x:c>
      <x:c r="D625" s="23" t="str">
        <x:v>Pasivos por arrendamiento corrientes</x:v>
      </x:c>
      <x:c r="E625" s="24" t="n">
        <x:v>30000</x:v>
      </x:c>
      <x:c r="F625" s="23" t="str">
        <x:v>ERP simulado</x:v>
      </x:c>
      <x:c r="G625" s="23" t="str">
        <x:v>Actual</x:v>
      </x:c>
      <x:c r="H625" s="23" t="str">
        <x:v>EUR</x:v>
      </x:c>
    </x:row>
    <x:row r="626">
      <x:c r="A626" s="23" t="str">
        <x:v>2026-12</x:v>
      </x:c>
      <x:c r="B626" s="23" t="str">
        <x:v>2026-12-31</x:v>
      </x:c>
      <x:c r="C626" s="23" t="str">
        <x:v>2500</x:v>
      </x:c>
      <x:c r="D626" s="23" t="str">
        <x:v>Deuda financiera no corriente</x:v>
      </x:c>
      <x:c r="E626" s="24" t="n">
        <x:v>4280000</x:v>
      </x:c>
      <x:c r="F626" s="23" t="str">
        <x:v>ERP simulado</x:v>
      </x:c>
      <x:c r="G626" s="23" t="str">
        <x:v>Actual</x:v>
      </x:c>
      <x:c r="H626" s="23" t="str">
        <x:v>EUR</x:v>
      </x:c>
    </x:row>
    <x:row r="627">
      <x:c r="A627" s="23" t="str">
        <x:v>2026-12</x:v>
      </x:c>
      <x:c r="B627" s="23" t="str">
        <x:v>2026-12-31</x:v>
      </x:c>
      <x:c r="C627" s="23" t="str">
        <x:v>2600</x:v>
      </x:c>
      <x:c r="D627" s="23" t="str">
        <x:v>Pasivos por arrendamiento no corrientes</x:v>
      </x:c>
      <x:c r="E627" s="24" t="n">
        <x:v>70000</x:v>
      </x:c>
      <x:c r="F627" s="23" t="str">
        <x:v>ERP simulado</x:v>
      </x:c>
      <x:c r="G627" s="23" t="str">
        <x:v>Actual</x:v>
      </x:c>
      <x:c r="H627" s="23" t="str">
        <x:v>EUR</x:v>
      </x:c>
    </x:row>
    <x:row r="628">
      <x:c r="A628" s="23" t="str">
        <x:v>2026-12</x:v>
      </x:c>
      <x:c r="B628" s="23" t="str">
        <x:v>2026-12-31</x:v>
      </x:c>
      <x:c r="C628" s="23" t="str">
        <x:v>2700</x:v>
      </x:c>
      <x:c r="D628" s="23" t="str">
        <x:v>Otros pasivos</x:v>
      </x:c>
      <x:c r="E628" s="24" t="n">
        <x:v>800000</x:v>
      </x:c>
      <x:c r="F628" s="23" t="str">
        <x:v>ERP simulado</x:v>
      </x:c>
      <x:c r="G628" s="23" t="str">
        <x:v>Actual</x:v>
      </x:c>
      <x:c r="H628" s="23" t="str">
        <x:v>EUR</x:v>
      </x:c>
    </x:row>
    <x:row r="629">
      <x:c r="A629" s="23" t="str">
        <x:v>2026-12</x:v>
      </x:c>
      <x:c r="B629" s="23" t="str">
        <x:v>2026-12-31</x:v>
      </x:c>
      <x:c r="C629" s="23" t="str">
        <x:v>3000</x:v>
      </x:c>
      <x:c r="D629" s="23" t="str">
        <x:v>Capital social</x:v>
      </x:c>
      <x:c r="E629" s="24" t="n">
        <x:v>5000000</x:v>
      </x:c>
      <x:c r="F629" s="23" t="str">
        <x:v>ERP simulado</x:v>
      </x:c>
      <x:c r="G629" s="23" t="str">
        <x:v>Actual</x:v>
      </x:c>
      <x:c r="H629" s="23" t="str">
        <x:v>EUR</x:v>
      </x:c>
    </x:row>
    <x:row r="630">
      <x:c r="A630" s="23" t="str">
        <x:v>2026-12</x:v>
      </x:c>
      <x:c r="B630" s="23" t="str">
        <x:v>2026-12-31</x:v>
      </x:c>
      <x:c r="C630" s="23" t="str">
        <x:v>3100</x:v>
      </x:c>
      <x:c r="D630" s="23" t="str">
        <x:v>Resultados acumulados</x:v>
      </x:c>
      <x:c r="E630" s="24" t="n">
        <x:v>13243605</x:v>
      </x:c>
      <x:c r="F630" s="23" t="str">
        <x:v>ERP simulado</x:v>
      </x:c>
      <x:c r="G630" s="23" t="str">
        <x:v>Actual</x:v>
      </x:c>
      <x:c r="H630" s="23" t="str">
        <x:v>EUR</x:v>
      </x:c>
    </x:row>
  </x:sheetData>
  <x:pageMargins left="0.7" right="0.7" top="0.75" bottom="0.75" header="0.3" footer="0.3"/>
  <x:tableParts count="1">
    <x:tablePart xmlns:r="http://schemas.openxmlformats.org/officeDocument/2006/relationships" r:id="R44e86982ab1b4e46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13" hidden="0" customWidth="1"/>
    <x:col min="3" max="3" width="17.889999389648438" hidden="0" customWidth="1"/>
    <x:col min="4" max="4" width="35" hidden="0" customWidth="1"/>
    <x:col min="5" max="5" width="11" hidden="0" customWidth="1"/>
    <x:col min="6" max="6" width="15.890000343322754" hidden="0" customWidth="1"/>
    <x:col min="7" max="7" width="11.890000343322754" hidden="0" customWidth="1"/>
    <x:col min="8" max="8" width="7.329999923706055" hidden="0" customWidth="1"/>
  </x:cols>
  <x:sheetData>
    <x:row r="1" ht="26" customHeight="1">
      <x:c r="A1" s="11" t="str">
        <x:v>Period_Key</x:v>
      </x:c>
      <x:c r="B1" s="11" t="str">
        <x:v>Month_End</x:v>
      </x:c>
      <x:c r="C1" s="11" t="str">
        <x:v>Movement_Code</x:v>
      </x:c>
      <x:c r="D1" s="11" t="str">
        <x:v>Movement_Name</x:v>
      </x:c>
      <x:c r="E1" s="11" t="str">
        <x:v>Amount_EUR</x:v>
      </x:c>
      <x:c r="F1" s="11" t="str">
        <x:v>Cash_Flow_Section</x:v>
      </x:c>
      <x:c r="G1" s="11" t="str">
        <x:v>Data_Source</x:v>
      </x:c>
      <x:c r="H1" s="11" t="str">
        <x:v>Scenario</x:v>
      </x:c>
    </x:row>
    <x:row r="2">
      <x:c r="A2" s="23" t="str">
        <x:v>2024-01</x:v>
      </x:c>
      <x:c r="B2" s="23" t="str">
        <x:v>2024-01-31</x:v>
      </x:c>
      <x:c r="C2" s="23" t="str">
        <x:v>CAPEX</x:v>
      </x:c>
      <x:c r="D2" s="23" t="str">
        <x:v>Inversiones en inmovilizado material</x:v>
      </x:c>
      <x:c r="E2" s="24" t="n">
        <x:v>140000</x:v>
      </x:c>
      <x:c r="F2" s="23" t="str">
        <x:v>Inversión</x:v>
      </x:c>
      <x:c r="G2" s="23" t="str">
        <x:v>Tesorería simulada</x:v>
      </x:c>
      <x:c r="H2" s="23" t="str">
        <x:v>Actual</x:v>
      </x:c>
    </x:row>
    <x:row r="3">
      <x:c r="A3" s="23" t="str">
        <x:v>2024-01</x:v>
      </x:c>
      <x:c r="B3" s="23" t="str">
        <x:v>2024-01-31</x:v>
      </x:c>
      <x:c r="C3" s="23" t="str">
        <x:v>INTANGIBLE_ADDITIONS</x:v>
      </x:c>
      <x:c r="D3" s="23" t="str">
        <x:v>Altas de activos intangibles</x:v>
      </x:c>
      <x:c r="E3" s="24" t="n">
        <x:v>15000</x:v>
      </x:c>
      <x:c r="F3" s="23" t="str">
        <x:v>Inversión</x:v>
      </x:c>
      <x:c r="G3" s="23" t="str">
        <x:v>Tesorería simulada</x:v>
      </x:c>
      <x:c r="H3" s="23" t="str">
        <x:v>Actual</x:v>
      </x:c>
    </x:row>
    <x:row r="4">
      <x:c r="A4" s="23" t="str">
        <x:v>2024-01</x:v>
      </x:c>
      <x:c r="B4" s="23" t="str">
        <x:v>2024-01-31</x:v>
      </x:c>
      <x:c r="C4" s="23" t="str">
        <x:v>ASSET_SALE_PROCEEDS</x:v>
      </x:c>
      <x:c r="D4" s="23" t="str">
        <x:v>Cobros por venta de activos</x:v>
      </x:c>
      <x:c r="E4" s="24" t="n">
        <x:v>0</x:v>
      </x:c>
      <x:c r="F4" s="23" t="str">
        <x:v>Inversión</x:v>
      </x:c>
      <x:c r="G4" s="23" t="str">
        <x:v>Tesorería simulada</x:v>
      </x:c>
      <x:c r="H4" s="23" t="str">
        <x:v>Actual</x:v>
      </x:c>
    </x:row>
    <x:row r="5">
      <x:c r="A5" s="23" t="str">
        <x:v>2024-01</x:v>
      </x:c>
      <x:c r="B5" s="23" t="str">
        <x:v>2024-01-31</x:v>
      </x:c>
      <x:c r="C5" s="23" t="str">
        <x:v>ACQUISITIONS</x:v>
      </x:c>
      <x:c r="D5" s="23" t="str">
        <x:v>Adquisiciones e inversiones financieras</x:v>
      </x:c>
      <x:c r="E5" s="24" t="n">
        <x:v>0</x:v>
      </x:c>
      <x:c r="F5" s="23" t="str">
        <x:v>Inversión</x:v>
      </x:c>
      <x:c r="G5" s="23" t="str">
        <x:v>Tesorería simulada</x:v>
      </x:c>
      <x:c r="H5" s="23" t="str">
        <x:v>Actual</x:v>
      </x:c>
    </x:row>
    <x:row r="6">
      <x:c r="A6" s="23" t="str">
        <x:v>2024-01</x:v>
      </x:c>
      <x:c r="B6" s="23" t="str">
        <x:v>2024-01-31</x:v>
      </x:c>
      <x:c r="C6" s="23" t="str">
        <x:v>DEBT_DRAWDOWNS</x:v>
      </x:c>
      <x:c r="D6" s="23" t="str">
        <x:v>Disposiciones de deuda</x:v>
      </x:c>
      <x:c r="E6" s="24" t="n">
        <x:v>0</x:v>
      </x:c>
      <x:c r="F6" s="23" t="str">
        <x:v>Financiación</x:v>
      </x:c>
      <x:c r="G6" s="23" t="str">
        <x:v>Tesorería simulada</x:v>
      </x:c>
      <x:c r="H6" s="23" t="str">
        <x:v>Actual</x:v>
      </x:c>
    </x:row>
    <x:row r="7">
      <x:c r="A7" s="23" t="str">
        <x:v>2024-01</x:v>
      </x:c>
      <x:c r="B7" s="23" t="str">
        <x:v>2024-01-31</x:v>
      </x:c>
      <x:c r="C7" s="23" t="str">
        <x:v>DEBT_REPAYMENTS</x:v>
      </x:c>
      <x:c r="D7" s="23" t="str">
        <x:v>Amortizaciones de deuda</x:v>
      </x:c>
      <x:c r="E7" s="24" t="n">
        <x:v>0</x:v>
      </x:c>
      <x:c r="F7" s="23" t="str">
        <x:v>Financiación</x:v>
      </x:c>
      <x:c r="G7" s="23" t="str">
        <x:v>Tesorería simulada</x:v>
      </x:c>
      <x:c r="H7" s="23" t="str">
        <x:v>Actual</x:v>
      </x:c>
    </x:row>
    <x:row r="8">
      <x:c r="A8" s="23" t="str">
        <x:v>2024-01</x:v>
      </x:c>
      <x:c r="B8" s="23" t="str">
        <x:v>2024-01-31</x:v>
      </x:c>
      <x:c r="C8" s="23" t="str">
        <x:v>LEASE_PRINCIPAL</x:v>
      </x:c>
      <x:c r="D8" s="23" t="str">
        <x:v>Pagos de principal de arrendamientos</x:v>
      </x:c>
      <x:c r="E8" s="24" t="n">
        <x:v>25000</x:v>
      </x:c>
      <x:c r="F8" s="23" t="str">
        <x:v>Financiación</x:v>
      </x:c>
      <x:c r="G8" s="23" t="str">
        <x:v>Tesorería simulada</x:v>
      </x:c>
      <x:c r="H8" s="23" t="str">
        <x:v>Actual</x:v>
      </x:c>
    </x:row>
    <x:row r="9">
      <x:c r="A9" s="23" t="str">
        <x:v>2024-01</x:v>
      </x:c>
      <x:c r="B9" s="23" t="str">
        <x:v>2024-01-31</x:v>
      </x:c>
      <x:c r="C9" s="23" t="str">
        <x:v>DIVIDENDS</x:v>
      </x:c>
      <x:c r="D9" s="23" t="str">
        <x:v>Dividendos pagados</x:v>
      </x:c>
      <x:c r="E9" s="24" t="n">
        <x:v>0</x:v>
      </x:c>
      <x:c r="F9" s="23" t="str">
        <x:v>Financiación</x:v>
      </x:c>
      <x:c r="G9" s="23" t="str">
        <x:v>Tesorería simulada</x:v>
      </x:c>
      <x:c r="H9" s="23" t="str">
        <x:v>Actual</x:v>
      </x:c>
    </x:row>
    <x:row r="10">
      <x:c r="A10" s="23" t="str">
        <x:v>2024-01</x:v>
      </x:c>
      <x:c r="B10" s="23" t="str">
        <x:v>2024-01-31</x:v>
      </x:c>
      <x:c r="C10" s="23" t="str">
        <x:v>CAPITAL_CONTRIBUTIONS</x:v>
      </x:c>
      <x:c r="D10" s="23" t="str">
        <x:v>Aportaciones de capital</x:v>
      </x:c>
      <x:c r="E10" s="24" t="n">
        <x:v>0</x:v>
      </x:c>
      <x:c r="F10" s="23" t="str">
        <x:v>Financiación</x:v>
      </x:c>
      <x:c r="G10" s="23" t="str">
        <x:v>Tesorería simulada</x:v>
      </x:c>
      <x:c r="H10" s="23" t="str">
        <x:v>Actual</x:v>
      </x:c>
    </x:row>
    <x:row r="11">
      <x:c r="A11" s="23" t="str">
        <x:v>2024-01</x:v>
      </x:c>
      <x:c r="B11" s="23" t="str">
        <x:v>2024-01-31</x:v>
      </x:c>
      <x:c r="C11" s="23" t="str">
        <x:v>FX_OTHER</x:v>
      </x:c>
      <x:c r="D11" s="23" t="str">
        <x:v>Efecto de tipo de cambio y otros</x:v>
      </x:c>
      <x:c r="E11" s="24" t="n">
        <x:v>0</x:v>
      </x:c>
      <x:c r="F11" s="23" t="str">
        <x:v>Otros</x:v>
      </x:c>
      <x:c r="G11" s="23" t="str">
        <x:v>Tesorería simulada</x:v>
      </x:c>
      <x:c r="H11" s="23" t="str">
        <x:v>Actual</x:v>
      </x:c>
    </x:row>
    <x:row r="12">
      <x:c r="A12" s="23" t="str">
        <x:v>2024-02</x:v>
      </x:c>
      <x:c r="B12" s="23" t="str">
        <x:v>2024-02-29</x:v>
      </x:c>
      <x:c r="C12" s="23" t="str">
        <x:v>CAPEX</x:v>
      </x:c>
      <x:c r="D12" s="23" t="str">
        <x:v>Inversiones en inmovilizado material</x:v>
      </x:c>
      <x:c r="E12" s="24" t="n">
        <x:v>148180</x:v>
      </x:c>
      <x:c r="F12" s="23" t="str">
        <x:v>Inversión</x:v>
      </x:c>
      <x:c r="G12" s="23" t="str">
        <x:v>Tesorería simulada</x:v>
      </x:c>
      <x:c r="H12" s="23" t="str">
        <x:v>Actual</x:v>
      </x:c>
    </x:row>
    <x:row r="13">
      <x:c r="A13" s="23" t="str">
        <x:v>2024-02</x:v>
      </x:c>
      <x:c r="B13" s="23" t="str">
        <x:v>2024-02-29</x:v>
      </x:c>
      <x:c r="C13" s="23" t="str">
        <x:v>INTANGIBLE_ADDITIONS</x:v>
      </x:c>
      <x:c r="D13" s="23" t="str">
        <x:v>Altas de activos intangibles</x:v>
      </x:c>
      <x:c r="E13" s="24" t="n">
        <x:v>15000</x:v>
      </x:c>
      <x:c r="F13" s="23" t="str">
        <x:v>Inversión</x:v>
      </x:c>
      <x:c r="G13" s="23" t="str">
        <x:v>Tesorería simulada</x:v>
      </x:c>
      <x:c r="H13" s="23" t="str">
        <x:v>Actual</x:v>
      </x:c>
    </x:row>
    <x:row r="14">
      <x:c r="A14" s="23" t="str">
        <x:v>2024-02</x:v>
      </x:c>
      <x:c r="B14" s="23" t="str">
        <x:v>2024-02-29</x:v>
      </x:c>
      <x:c r="C14" s="23" t="str">
        <x:v>ASSET_SALE_PROCEEDS</x:v>
      </x:c>
      <x:c r="D14" s="23" t="str">
        <x:v>Cobros por venta de activos</x:v>
      </x:c>
      <x:c r="E14" s="24" t="n">
        <x:v>0</x:v>
      </x:c>
      <x:c r="F14" s="23" t="str">
        <x:v>Inversión</x:v>
      </x:c>
      <x:c r="G14" s="23" t="str">
        <x:v>Tesorería simulada</x:v>
      </x:c>
      <x:c r="H14" s="23" t="str">
        <x:v>Actual</x:v>
      </x:c>
    </x:row>
    <x:row r="15">
      <x:c r="A15" s="23" t="str">
        <x:v>2024-02</x:v>
      </x:c>
      <x:c r="B15" s="23" t="str">
        <x:v>2024-02-29</x:v>
      </x:c>
      <x:c r="C15" s="23" t="str">
        <x:v>ACQUISITIONS</x:v>
      </x:c>
      <x:c r="D15" s="23" t="str">
        <x:v>Adquisiciones e inversiones financieras</x:v>
      </x:c>
      <x:c r="E15" s="24" t="n">
        <x:v>0</x:v>
      </x:c>
      <x:c r="F15" s="23" t="str">
        <x:v>Inversión</x:v>
      </x:c>
      <x:c r="G15" s="23" t="str">
        <x:v>Tesorería simulada</x:v>
      </x:c>
      <x:c r="H15" s="23" t="str">
        <x:v>Actual</x:v>
      </x:c>
    </x:row>
    <x:row r="16">
      <x:c r="A16" s="23" t="str">
        <x:v>2024-02</x:v>
      </x:c>
      <x:c r="B16" s="23" t="str">
        <x:v>2024-02-29</x:v>
      </x:c>
      <x:c r="C16" s="23" t="str">
        <x:v>DEBT_DRAWDOWNS</x:v>
      </x:c>
      <x:c r="D16" s="23" t="str">
        <x:v>Disposiciones de deuda</x:v>
      </x:c>
      <x:c r="E16" s="24" t="n">
        <x:v>0</x:v>
      </x:c>
      <x:c r="F16" s="23" t="str">
        <x:v>Financiación</x:v>
      </x:c>
      <x:c r="G16" s="23" t="str">
        <x:v>Tesorería simulada</x:v>
      </x:c>
      <x:c r="H16" s="23" t="str">
        <x:v>Actual</x:v>
      </x:c>
    </x:row>
    <x:row r="17">
      <x:c r="A17" s="23" t="str">
        <x:v>2024-02</x:v>
      </x:c>
      <x:c r="B17" s="23" t="str">
        <x:v>2024-02-29</x:v>
      </x:c>
      <x:c r="C17" s="23" t="str">
        <x:v>DEBT_REPAYMENTS</x:v>
      </x:c>
      <x:c r="D17" s="23" t="str">
        <x:v>Amortizaciones de deuda</x:v>
      </x:c>
      <x:c r="E17" s="24" t="n">
        <x:v>0</x:v>
      </x:c>
      <x:c r="F17" s="23" t="str">
        <x:v>Financiación</x:v>
      </x:c>
      <x:c r="G17" s="23" t="str">
        <x:v>Tesorería simulada</x:v>
      </x:c>
      <x:c r="H17" s="23" t="str">
        <x:v>Actual</x:v>
      </x:c>
    </x:row>
    <x:row r="18">
      <x:c r="A18" s="23" t="str">
        <x:v>2024-02</x:v>
      </x:c>
      <x:c r="B18" s="23" t="str">
        <x:v>2024-02-29</x:v>
      </x:c>
      <x:c r="C18" s="23" t="str">
        <x:v>LEASE_PRINCIPAL</x:v>
      </x:c>
      <x:c r="D18" s="23" t="str">
        <x:v>Pagos de principal de arrendamientos</x:v>
      </x:c>
      <x:c r="E18" s="24" t="n">
        <x:v>25000</x:v>
      </x:c>
      <x:c r="F18" s="23" t="str">
        <x:v>Financiación</x:v>
      </x:c>
      <x:c r="G18" s="23" t="str">
        <x:v>Tesorería simulada</x:v>
      </x:c>
      <x:c r="H18" s="23" t="str">
        <x:v>Actual</x:v>
      </x:c>
    </x:row>
    <x:row r="19">
      <x:c r="A19" s="23" t="str">
        <x:v>2024-02</x:v>
      </x:c>
      <x:c r="B19" s="23" t="str">
        <x:v>2024-02-29</x:v>
      </x:c>
      <x:c r="C19" s="23" t="str">
        <x:v>DIVIDENDS</x:v>
      </x:c>
      <x:c r="D19" s="23" t="str">
        <x:v>Dividendos pagados</x:v>
      </x:c>
      <x:c r="E19" s="24" t="n">
        <x:v>0</x:v>
      </x:c>
      <x:c r="F19" s="23" t="str">
        <x:v>Financiación</x:v>
      </x:c>
      <x:c r="G19" s="23" t="str">
        <x:v>Tesorería simulada</x:v>
      </x:c>
      <x:c r="H19" s="23" t="str">
        <x:v>Actual</x:v>
      </x:c>
    </x:row>
    <x:row r="20">
      <x:c r="A20" s="23" t="str">
        <x:v>2024-02</x:v>
      </x:c>
      <x:c r="B20" s="23" t="str">
        <x:v>2024-02-29</x:v>
      </x:c>
      <x:c r="C20" s="23" t="str">
        <x:v>CAPITAL_CONTRIBUTIONS</x:v>
      </x:c>
      <x:c r="D20" s="23" t="str">
        <x:v>Aportaciones de capital</x:v>
      </x:c>
      <x:c r="E20" s="24" t="n">
        <x:v>0</x:v>
      </x:c>
      <x:c r="F20" s="23" t="str">
        <x:v>Financiación</x:v>
      </x:c>
      <x:c r="G20" s="23" t="str">
        <x:v>Tesorería simulada</x:v>
      </x:c>
      <x:c r="H20" s="23" t="str">
        <x:v>Actual</x:v>
      </x:c>
    </x:row>
    <x:row r="21">
      <x:c r="A21" s="23" t="str">
        <x:v>2024-02</x:v>
      </x:c>
      <x:c r="B21" s="23" t="str">
        <x:v>2024-02-29</x:v>
      </x:c>
      <x:c r="C21" s="23" t="str">
        <x:v>FX_OTHER</x:v>
      </x:c>
      <x:c r="D21" s="23" t="str">
        <x:v>Efecto de tipo de cambio y otros</x:v>
      </x:c>
      <x:c r="E21" s="24" t="n">
        <x:v>0</x:v>
      </x:c>
      <x:c r="F21" s="23" t="str">
        <x:v>Otros</x:v>
      </x:c>
      <x:c r="G21" s="23" t="str">
        <x:v>Tesorería simulada</x:v>
      </x:c>
      <x:c r="H21" s="23" t="str">
        <x:v>Actual</x:v>
      </x:c>
    </x:row>
    <x:row r="22">
      <x:c r="A22" s="23" t="str">
        <x:v>2024-03</x:v>
      </x:c>
      <x:c r="B22" s="23" t="str">
        <x:v>2024-03-31</x:v>
      </x:c>
      <x:c r="C22" s="23" t="str">
        <x:v>CAPEX</x:v>
      </x:c>
      <x:c r="D22" s="23" t="str">
        <x:v>Inversiones en inmovilizado material</x:v>
      </x:c>
      <x:c r="E22" s="24" t="n">
        <x:v>155459</x:v>
      </x:c>
      <x:c r="F22" s="23" t="str">
        <x:v>Inversión</x:v>
      </x:c>
      <x:c r="G22" s="23" t="str">
        <x:v>Tesorería simulada</x:v>
      </x:c>
      <x:c r="H22" s="23" t="str">
        <x:v>Actual</x:v>
      </x:c>
    </x:row>
    <x:row r="23">
      <x:c r="A23" s="23" t="str">
        <x:v>2024-03</x:v>
      </x:c>
      <x:c r="B23" s="23" t="str">
        <x:v>2024-03-31</x:v>
      </x:c>
      <x:c r="C23" s="23" t="str">
        <x:v>INTANGIBLE_ADDITIONS</x:v>
      </x:c>
      <x:c r="D23" s="23" t="str">
        <x:v>Altas de activos intangibles</x:v>
      </x:c>
      <x:c r="E23" s="24" t="n">
        <x:v>45000</x:v>
      </x:c>
      <x:c r="F23" s="23" t="str">
        <x:v>Inversión</x:v>
      </x:c>
      <x:c r="G23" s="23" t="str">
        <x:v>Tesorería simulada</x:v>
      </x:c>
      <x:c r="H23" s="23" t="str">
        <x:v>Actual</x:v>
      </x:c>
    </x:row>
    <x:row r="24">
      <x:c r="A24" s="23" t="str">
        <x:v>2024-03</x:v>
      </x:c>
      <x:c r="B24" s="23" t="str">
        <x:v>2024-03-31</x:v>
      </x:c>
      <x:c r="C24" s="23" t="str">
        <x:v>ASSET_SALE_PROCEEDS</x:v>
      </x:c>
      <x:c r="D24" s="23" t="str">
        <x:v>Cobros por venta de activos</x:v>
      </x:c>
      <x:c r="E24" s="24" t="n">
        <x:v>0</x:v>
      </x:c>
      <x:c r="F24" s="23" t="str">
        <x:v>Inversión</x:v>
      </x:c>
      <x:c r="G24" s="23" t="str">
        <x:v>Tesorería simulada</x:v>
      </x:c>
      <x:c r="H24" s="23" t="str">
        <x:v>Actual</x:v>
      </x:c>
    </x:row>
    <x:row r="25">
      <x:c r="A25" s="23" t="str">
        <x:v>2024-03</x:v>
      </x:c>
      <x:c r="B25" s="23" t="str">
        <x:v>2024-03-31</x:v>
      </x:c>
      <x:c r="C25" s="23" t="str">
        <x:v>ACQUISITIONS</x:v>
      </x:c>
      <x:c r="D25" s="23" t="str">
        <x:v>Adquisiciones e inversiones financieras</x:v>
      </x:c>
      <x:c r="E25" s="24" t="n">
        <x:v>0</x:v>
      </x:c>
      <x:c r="F25" s="23" t="str">
        <x:v>Inversión</x:v>
      </x:c>
      <x:c r="G25" s="23" t="str">
        <x:v>Tesorería simulada</x:v>
      </x:c>
      <x:c r="H25" s="23" t="str">
        <x:v>Actual</x:v>
      </x:c>
    </x:row>
    <x:row r="26">
      <x:c r="A26" s="23" t="str">
        <x:v>2024-03</x:v>
      </x:c>
      <x:c r="B26" s="23" t="str">
        <x:v>2024-03-31</x:v>
      </x:c>
      <x:c r="C26" s="23" t="str">
        <x:v>DEBT_DRAWDOWNS</x:v>
      </x:c>
      <x:c r="D26" s="23" t="str">
        <x:v>Disposiciones de deuda</x:v>
      </x:c>
      <x:c r="E26" s="24" t="n">
        <x:v>0</x:v>
      </x:c>
      <x:c r="F26" s="23" t="str">
        <x:v>Financiación</x:v>
      </x:c>
      <x:c r="G26" s="23" t="str">
        <x:v>Tesorería simulada</x:v>
      </x:c>
      <x:c r="H26" s="23" t="str">
        <x:v>Actual</x:v>
      </x:c>
    </x:row>
    <x:row r="27">
      <x:c r="A27" s="23" t="str">
        <x:v>2024-03</x:v>
      </x:c>
      <x:c r="B27" s="23" t="str">
        <x:v>2024-03-31</x:v>
      </x:c>
      <x:c r="C27" s="23" t="str">
        <x:v>DEBT_REPAYMENTS</x:v>
      </x:c>
      <x:c r="D27" s="23" t="str">
        <x:v>Amortizaciones de deuda</x:v>
      </x:c>
      <x:c r="E27" s="24" t="n">
        <x:v>125000</x:v>
      </x:c>
      <x:c r="F27" s="23" t="str">
        <x:v>Financiación</x:v>
      </x:c>
      <x:c r="G27" s="23" t="str">
        <x:v>Tesorería simulada</x:v>
      </x:c>
      <x:c r="H27" s="23" t="str">
        <x:v>Actual</x:v>
      </x:c>
    </x:row>
    <x:row r="28">
      <x:c r="A28" s="23" t="str">
        <x:v>2024-03</x:v>
      </x:c>
      <x:c r="B28" s="23" t="str">
        <x:v>2024-03-31</x:v>
      </x:c>
      <x:c r="C28" s="23" t="str">
        <x:v>LEASE_PRINCIPAL</x:v>
      </x:c>
      <x:c r="D28" s="23" t="str">
        <x:v>Pagos de principal de arrendamientos</x:v>
      </x:c>
      <x:c r="E28" s="24" t="n">
        <x:v>25000</x:v>
      </x:c>
      <x:c r="F28" s="23" t="str">
        <x:v>Financiación</x:v>
      </x:c>
      <x:c r="G28" s="23" t="str">
        <x:v>Tesorería simulada</x:v>
      </x:c>
      <x:c r="H28" s="23" t="str">
        <x:v>Actual</x:v>
      </x:c>
    </x:row>
    <x:row r="29">
      <x:c r="A29" s="23" t="str">
        <x:v>2024-03</x:v>
      </x:c>
      <x:c r="B29" s="23" t="str">
        <x:v>2024-03-31</x:v>
      </x:c>
      <x:c r="C29" s="23" t="str">
        <x:v>DIVIDENDS</x:v>
      </x:c>
      <x:c r="D29" s="23" t="str">
        <x:v>Dividendos pagados</x:v>
      </x:c>
      <x:c r="E29" s="24" t="n">
        <x:v>0</x:v>
      </x:c>
      <x:c r="F29" s="23" t="str">
        <x:v>Financiación</x:v>
      </x:c>
      <x:c r="G29" s="23" t="str">
        <x:v>Tesorería simulada</x:v>
      </x:c>
      <x:c r="H29" s="23" t="str">
        <x:v>Actual</x:v>
      </x:c>
    </x:row>
    <x:row r="30">
      <x:c r="A30" s="23" t="str">
        <x:v>2024-03</x:v>
      </x:c>
      <x:c r="B30" s="23" t="str">
        <x:v>2024-03-31</x:v>
      </x:c>
      <x:c r="C30" s="23" t="str">
        <x:v>CAPITAL_CONTRIBUTIONS</x:v>
      </x:c>
      <x:c r="D30" s="23" t="str">
        <x:v>Aportaciones de capital</x:v>
      </x:c>
      <x:c r="E30" s="24" t="n">
        <x:v>0</x:v>
      </x:c>
      <x:c r="F30" s="23" t="str">
        <x:v>Financiación</x:v>
      </x:c>
      <x:c r="G30" s="23" t="str">
        <x:v>Tesorería simulada</x:v>
      </x:c>
      <x:c r="H30" s="23" t="str">
        <x:v>Actual</x:v>
      </x:c>
    </x:row>
    <x:row r="31">
      <x:c r="A31" s="23" t="str">
        <x:v>2024-03</x:v>
      </x:c>
      <x:c r="B31" s="23" t="str">
        <x:v>2024-03-31</x:v>
      </x:c>
      <x:c r="C31" s="23" t="str">
        <x:v>FX_OTHER</x:v>
      </x:c>
      <x:c r="D31" s="23" t="str">
        <x:v>Efecto de tipo de cambio y otros</x:v>
      </x:c>
      <x:c r="E31" s="24" t="n">
        <x:v>0</x:v>
      </x:c>
      <x:c r="F31" s="23" t="str">
        <x:v>Otros</x:v>
      </x:c>
      <x:c r="G31" s="23" t="str">
        <x:v>Tesorería simulada</x:v>
      </x:c>
      <x:c r="H31" s="23" t="str">
        <x:v>Actual</x:v>
      </x:c>
    </x:row>
    <x:row r="32">
      <x:c r="A32" s="23" t="str">
        <x:v>2024-04</x:v>
      </x:c>
      <x:c r="B32" s="23" t="str">
        <x:v>2024-04-30</x:v>
      </x:c>
      <x:c r="C32" s="23" t="str">
        <x:v>CAPEX</x:v>
      </x:c>
      <x:c r="D32" s="23" t="str">
        <x:v>Inversiones en inmovilizado material</x:v>
      </x:c>
      <x:c r="E32" s="24" t="n">
        <x:v>161037</x:v>
      </x:c>
      <x:c r="F32" s="23" t="str">
        <x:v>Inversión</x:v>
      </x:c>
      <x:c r="G32" s="23" t="str">
        <x:v>Tesorería simulada</x:v>
      </x:c>
      <x:c r="H32" s="23" t="str">
        <x:v>Actual</x:v>
      </x:c>
    </x:row>
    <x:row r="33">
      <x:c r="A33" s="23" t="str">
        <x:v>2024-04</x:v>
      </x:c>
      <x:c r="B33" s="23" t="str">
        <x:v>2024-04-30</x:v>
      </x:c>
      <x:c r="C33" s="23" t="str">
        <x:v>INTANGIBLE_ADDITIONS</x:v>
      </x:c>
      <x:c r="D33" s="23" t="str">
        <x:v>Altas de activos intangibles</x:v>
      </x:c>
      <x:c r="E33" s="24" t="n">
        <x:v>15000</x:v>
      </x:c>
      <x:c r="F33" s="23" t="str">
        <x:v>Inversión</x:v>
      </x:c>
      <x:c r="G33" s="23" t="str">
        <x:v>Tesorería simulada</x:v>
      </x:c>
      <x:c r="H33" s="23" t="str">
        <x:v>Actual</x:v>
      </x:c>
    </x:row>
    <x:row r="34">
      <x:c r="A34" s="23" t="str">
        <x:v>2024-04</x:v>
      </x:c>
      <x:c r="B34" s="23" t="str">
        <x:v>2024-04-30</x:v>
      </x:c>
      <x:c r="C34" s="23" t="str">
        <x:v>ASSET_SALE_PROCEEDS</x:v>
      </x:c>
      <x:c r="D34" s="23" t="str">
        <x:v>Cobros por venta de activos</x:v>
      </x:c>
      <x:c r="E34" s="24" t="n">
        <x:v>0</x:v>
      </x:c>
      <x:c r="F34" s="23" t="str">
        <x:v>Inversión</x:v>
      </x:c>
      <x:c r="G34" s="23" t="str">
        <x:v>Tesorería simulada</x:v>
      </x:c>
      <x:c r="H34" s="23" t="str">
        <x:v>Actual</x:v>
      </x:c>
    </x:row>
    <x:row r="35">
      <x:c r="A35" s="23" t="str">
        <x:v>2024-04</x:v>
      </x:c>
      <x:c r="B35" s="23" t="str">
        <x:v>2024-04-30</x:v>
      </x:c>
      <x:c r="C35" s="23" t="str">
        <x:v>ACQUISITIONS</x:v>
      </x:c>
      <x:c r="D35" s="23" t="str">
        <x:v>Adquisiciones e inversiones financieras</x:v>
      </x:c>
      <x:c r="E35" s="24" t="n">
        <x:v>0</x:v>
      </x:c>
      <x:c r="F35" s="23" t="str">
        <x:v>Inversión</x:v>
      </x:c>
      <x:c r="G35" s="23" t="str">
        <x:v>Tesorería simulada</x:v>
      </x:c>
      <x:c r="H35" s="23" t="str">
        <x:v>Actual</x:v>
      </x:c>
    </x:row>
    <x:row r="36">
      <x:c r="A36" s="23" t="str">
        <x:v>2024-04</x:v>
      </x:c>
      <x:c r="B36" s="23" t="str">
        <x:v>2024-04-30</x:v>
      </x:c>
      <x:c r="C36" s="23" t="str">
        <x:v>DEBT_DRAWDOWNS</x:v>
      </x:c>
      <x:c r="D36" s="23" t="str">
        <x:v>Disposiciones de deuda</x:v>
      </x:c>
      <x:c r="E36" s="24" t="n">
        <x:v>0</x:v>
      </x:c>
      <x:c r="F36" s="23" t="str">
        <x:v>Financiación</x:v>
      </x:c>
      <x:c r="G36" s="23" t="str">
        <x:v>Tesorería simulada</x:v>
      </x:c>
      <x:c r="H36" s="23" t="str">
        <x:v>Actual</x:v>
      </x:c>
    </x:row>
    <x:row r="37">
      <x:c r="A37" s="23" t="str">
        <x:v>2024-04</x:v>
      </x:c>
      <x:c r="B37" s="23" t="str">
        <x:v>2024-04-30</x:v>
      </x:c>
      <x:c r="C37" s="23" t="str">
        <x:v>DEBT_REPAYMENTS</x:v>
      </x:c>
      <x:c r="D37" s="23" t="str">
        <x:v>Amortizaciones de deuda</x:v>
      </x:c>
      <x:c r="E37" s="24" t="n">
        <x:v>0</x:v>
      </x:c>
      <x:c r="F37" s="23" t="str">
        <x:v>Financiación</x:v>
      </x:c>
      <x:c r="G37" s="23" t="str">
        <x:v>Tesorería simulada</x:v>
      </x:c>
      <x:c r="H37" s="23" t="str">
        <x:v>Actual</x:v>
      </x:c>
    </x:row>
    <x:row r="38">
      <x:c r="A38" s="23" t="str">
        <x:v>2024-04</x:v>
      </x:c>
      <x:c r="B38" s="23" t="str">
        <x:v>2024-04-30</x:v>
      </x:c>
      <x:c r="C38" s="23" t="str">
        <x:v>LEASE_PRINCIPAL</x:v>
      </x:c>
      <x:c r="D38" s="23" t="str">
        <x:v>Pagos de principal de arrendamientos</x:v>
      </x:c>
      <x:c r="E38" s="24" t="n">
        <x:v>25000</x:v>
      </x:c>
      <x:c r="F38" s="23" t="str">
        <x:v>Financiación</x:v>
      </x:c>
      <x:c r="G38" s="23" t="str">
        <x:v>Tesorería simulada</x:v>
      </x:c>
      <x:c r="H38" s="23" t="str">
        <x:v>Actual</x:v>
      </x:c>
    </x:row>
    <x:row r="39">
      <x:c r="A39" s="23" t="str">
        <x:v>2024-04</x:v>
      </x:c>
      <x:c r="B39" s="23" t="str">
        <x:v>2024-04-30</x:v>
      </x:c>
      <x:c r="C39" s="23" t="str">
        <x:v>DIVIDENDS</x:v>
      </x:c>
      <x:c r="D39" s="23" t="str">
        <x:v>Dividendos pagados</x:v>
      </x:c>
      <x:c r="E39" s="24" t="n">
        <x:v>0</x:v>
      </x:c>
      <x:c r="F39" s="23" t="str">
        <x:v>Financiación</x:v>
      </x:c>
      <x:c r="G39" s="23" t="str">
        <x:v>Tesorería simulada</x:v>
      </x:c>
      <x:c r="H39" s="23" t="str">
        <x:v>Actual</x:v>
      </x:c>
    </x:row>
    <x:row r="40">
      <x:c r="A40" s="23" t="str">
        <x:v>2024-04</x:v>
      </x:c>
      <x:c r="B40" s="23" t="str">
        <x:v>2024-04-30</x:v>
      </x:c>
      <x:c r="C40" s="23" t="str">
        <x:v>CAPITAL_CONTRIBUTIONS</x:v>
      </x:c>
      <x:c r="D40" s="23" t="str">
        <x:v>Aportaciones de capital</x:v>
      </x:c>
      <x:c r="E40" s="24" t="n">
        <x:v>0</x:v>
      </x:c>
      <x:c r="F40" s="23" t="str">
        <x:v>Financiación</x:v>
      </x:c>
      <x:c r="G40" s="23" t="str">
        <x:v>Tesorería simulada</x:v>
      </x:c>
      <x:c r="H40" s="23" t="str">
        <x:v>Actual</x:v>
      </x:c>
    </x:row>
    <x:row r="41">
      <x:c r="A41" s="23" t="str">
        <x:v>2024-04</x:v>
      </x:c>
      <x:c r="B41" s="23" t="str">
        <x:v>2024-04-30</x:v>
      </x:c>
      <x:c r="C41" s="23" t="str">
        <x:v>FX_OTHER</x:v>
      </x:c>
      <x:c r="D41" s="23" t="str">
        <x:v>Efecto de tipo de cambio y otros</x:v>
      </x:c>
      <x:c r="E41" s="24" t="n">
        <x:v>0</x:v>
      </x:c>
      <x:c r="F41" s="23" t="str">
        <x:v>Otros</x:v>
      </x:c>
      <x:c r="G41" s="23" t="str">
        <x:v>Tesorería simulada</x:v>
      </x:c>
      <x:c r="H41" s="23" t="str">
        <x:v>Actual</x:v>
      </x:c>
    </x:row>
    <x:row r="42">
      <x:c r="A42" s="23" t="str">
        <x:v>2024-05</x:v>
      </x:c>
      <x:c r="B42" s="23" t="str">
        <x:v>2024-05-31</x:v>
      </x:c>
      <x:c r="C42" s="23" t="str">
        <x:v>CAPEX</x:v>
      </x:c>
      <x:c r="D42" s="23" t="str">
        <x:v>Inversiones en inmovilizado material</x:v>
      </x:c>
      <x:c r="E42" s="24" t="n">
        <x:v>164298</x:v>
      </x:c>
      <x:c r="F42" s="23" t="str">
        <x:v>Inversión</x:v>
      </x:c>
      <x:c r="G42" s="23" t="str">
        <x:v>Tesorería simulada</x:v>
      </x:c>
      <x:c r="H42" s="23" t="str">
        <x:v>Actual</x:v>
      </x:c>
    </x:row>
    <x:row r="43">
      <x:c r="A43" s="23" t="str">
        <x:v>2024-05</x:v>
      </x:c>
      <x:c r="B43" s="23" t="str">
        <x:v>2024-05-31</x:v>
      </x:c>
      <x:c r="C43" s="23" t="str">
        <x:v>INTANGIBLE_ADDITIONS</x:v>
      </x:c>
      <x:c r="D43" s="23" t="str">
        <x:v>Altas de activos intangibles</x:v>
      </x:c>
      <x:c r="E43" s="24" t="n">
        <x:v>15000</x:v>
      </x:c>
      <x:c r="F43" s="23" t="str">
        <x:v>Inversión</x:v>
      </x:c>
      <x:c r="G43" s="23" t="str">
        <x:v>Tesorería simulada</x:v>
      </x:c>
      <x:c r="H43" s="23" t="str">
        <x:v>Actual</x:v>
      </x:c>
    </x:row>
    <x:row r="44">
      <x:c r="A44" s="23" t="str">
        <x:v>2024-05</x:v>
      </x:c>
      <x:c r="B44" s="23" t="str">
        <x:v>2024-05-31</x:v>
      </x:c>
      <x:c r="C44" s="23" t="str">
        <x:v>ASSET_SALE_PROCEEDS</x:v>
      </x:c>
      <x:c r="D44" s="23" t="str">
        <x:v>Cobros por venta de activos</x:v>
      </x:c>
      <x:c r="E44" s="24" t="n">
        <x:v>0</x:v>
      </x:c>
      <x:c r="F44" s="23" t="str">
        <x:v>Inversión</x:v>
      </x:c>
      <x:c r="G44" s="23" t="str">
        <x:v>Tesorería simulada</x:v>
      </x:c>
      <x:c r="H44" s="23" t="str">
        <x:v>Actual</x:v>
      </x:c>
    </x:row>
    <x:row r="45">
      <x:c r="A45" s="23" t="str">
        <x:v>2024-05</x:v>
      </x:c>
      <x:c r="B45" s="23" t="str">
        <x:v>2024-05-31</x:v>
      </x:c>
      <x:c r="C45" s="23" t="str">
        <x:v>ACQUISITIONS</x:v>
      </x:c>
      <x:c r="D45" s="23" t="str">
        <x:v>Adquisiciones e inversiones financieras</x:v>
      </x:c>
      <x:c r="E45" s="24" t="n">
        <x:v>0</x:v>
      </x:c>
      <x:c r="F45" s="23" t="str">
        <x:v>Inversión</x:v>
      </x:c>
      <x:c r="G45" s="23" t="str">
        <x:v>Tesorería simulada</x:v>
      </x:c>
      <x:c r="H45" s="23" t="str">
        <x:v>Actual</x:v>
      </x:c>
    </x:row>
    <x:row r="46">
      <x:c r="A46" s="23" t="str">
        <x:v>2024-05</x:v>
      </x:c>
      <x:c r="B46" s="23" t="str">
        <x:v>2024-05-31</x:v>
      </x:c>
      <x:c r="C46" s="23" t="str">
        <x:v>DEBT_DRAWDOWNS</x:v>
      </x:c>
      <x:c r="D46" s="23" t="str">
        <x:v>Disposiciones de deuda</x:v>
      </x:c>
      <x:c r="E46" s="24" t="n">
        <x:v>0</x:v>
      </x:c>
      <x:c r="F46" s="23" t="str">
        <x:v>Financiación</x:v>
      </x:c>
      <x:c r="G46" s="23" t="str">
        <x:v>Tesorería simulada</x:v>
      </x:c>
      <x:c r="H46" s="23" t="str">
        <x:v>Actual</x:v>
      </x:c>
    </x:row>
    <x:row r="47">
      <x:c r="A47" s="23" t="str">
        <x:v>2024-05</x:v>
      </x:c>
      <x:c r="B47" s="23" t="str">
        <x:v>2024-05-31</x:v>
      </x:c>
      <x:c r="C47" s="23" t="str">
        <x:v>DEBT_REPAYMENTS</x:v>
      </x:c>
      <x:c r="D47" s="23" t="str">
        <x:v>Amortizaciones de deuda</x:v>
      </x:c>
      <x:c r="E47" s="24" t="n">
        <x:v>0</x:v>
      </x:c>
      <x:c r="F47" s="23" t="str">
        <x:v>Financiación</x:v>
      </x:c>
      <x:c r="G47" s="23" t="str">
        <x:v>Tesorería simulada</x:v>
      </x:c>
      <x:c r="H47" s="23" t="str">
        <x:v>Actual</x:v>
      </x:c>
    </x:row>
    <x:row r="48">
      <x:c r="A48" s="23" t="str">
        <x:v>2024-05</x:v>
      </x:c>
      <x:c r="B48" s="23" t="str">
        <x:v>2024-05-31</x:v>
      </x:c>
      <x:c r="C48" s="23" t="str">
        <x:v>LEASE_PRINCIPAL</x:v>
      </x:c>
      <x:c r="D48" s="23" t="str">
        <x:v>Pagos de principal de arrendamientos</x:v>
      </x:c>
      <x:c r="E48" s="24" t="n">
        <x:v>25000</x:v>
      </x:c>
      <x:c r="F48" s="23" t="str">
        <x:v>Financiación</x:v>
      </x:c>
      <x:c r="G48" s="23" t="str">
        <x:v>Tesorería simulada</x:v>
      </x:c>
      <x:c r="H48" s="23" t="str">
        <x:v>Actual</x:v>
      </x:c>
    </x:row>
    <x:row r="49">
      <x:c r="A49" s="23" t="str">
        <x:v>2024-05</x:v>
      </x:c>
      <x:c r="B49" s="23" t="str">
        <x:v>2024-05-31</x:v>
      </x:c>
      <x:c r="C49" s="23" t="str">
        <x:v>DIVIDENDS</x:v>
      </x:c>
      <x:c r="D49" s="23" t="str">
        <x:v>Dividendos pagados</x:v>
      </x:c>
      <x:c r="E49" s="24" t="n">
        <x:v>0</x:v>
      </x:c>
      <x:c r="F49" s="23" t="str">
        <x:v>Financiación</x:v>
      </x:c>
      <x:c r="G49" s="23" t="str">
        <x:v>Tesorería simulada</x:v>
      </x:c>
      <x:c r="H49" s="23" t="str">
        <x:v>Actual</x:v>
      </x:c>
    </x:row>
    <x:row r="50">
      <x:c r="A50" s="23" t="str">
        <x:v>2024-05</x:v>
      </x:c>
      <x:c r="B50" s="23" t="str">
        <x:v>2024-05-31</x:v>
      </x:c>
      <x:c r="C50" s="23" t="str">
        <x:v>CAPITAL_CONTRIBUTIONS</x:v>
      </x:c>
      <x:c r="D50" s="23" t="str">
        <x:v>Aportaciones de capital</x:v>
      </x:c>
      <x:c r="E50" s="24" t="n">
        <x:v>0</x:v>
      </x:c>
      <x:c r="F50" s="23" t="str">
        <x:v>Financiación</x:v>
      </x:c>
      <x:c r="G50" s="23" t="str">
        <x:v>Tesorería simulada</x:v>
      </x:c>
      <x:c r="H50" s="23" t="str">
        <x:v>Actual</x:v>
      </x:c>
    </x:row>
    <x:row r="51">
      <x:c r="A51" s="23" t="str">
        <x:v>2024-05</x:v>
      </x:c>
      <x:c r="B51" s="23" t="str">
        <x:v>2024-05-31</x:v>
      </x:c>
      <x:c r="C51" s="23" t="str">
        <x:v>FX_OTHER</x:v>
      </x:c>
      <x:c r="D51" s="23" t="str">
        <x:v>Efecto de tipo de cambio y otros</x:v>
      </x:c>
      <x:c r="E51" s="24" t="n">
        <x:v>0</x:v>
      </x:c>
      <x:c r="F51" s="23" t="str">
        <x:v>Otros</x:v>
      </x:c>
      <x:c r="G51" s="23" t="str">
        <x:v>Tesorería simulada</x:v>
      </x:c>
      <x:c r="H51" s="23" t="str">
        <x:v>Actual</x:v>
      </x:c>
    </x:row>
    <x:row r="52">
      <x:c r="A52" s="23" t="str">
        <x:v>2024-06</x:v>
      </x:c>
      <x:c r="B52" s="23" t="str">
        <x:v>2024-06-30</x:v>
      </x:c>
      <x:c r="C52" s="23" t="str">
        <x:v>CAPEX</x:v>
      </x:c>
      <x:c r="D52" s="23" t="str">
        <x:v>Inversiones en inmovilizado material</x:v>
      </x:c>
      <x:c r="E52" s="24" t="n">
        <x:v>164885</x:v>
      </x:c>
      <x:c r="F52" s="23" t="str">
        <x:v>Inversión</x:v>
      </x:c>
      <x:c r="G52" s="23" t="str">
        <x:v>Tesorería simulada</x:v>
      </x:c>
      <x:c r="H52" s="23" t="str">
        <x:v>Actual</x:v>
      </x:c>
    </x:row>
    <x:row r="53">
      <x:c r="A53" s="23" t="str">
        <x:v>2024-06</x:v>
      </x:c>
      <x:c r="B53" s="23" t="str">
        <x:v>2024-06-30</x:v>
      </x:c>
      <x:c r="C53" s="23" t="str">
        <x:v>INTANGIBLE_ADDITIONS</x:v>
      </x:c>
      <x:c r="D53" s="23" t="str">
        <x:v>Altas de activos intangibles</x:v>
      </x:c>
      <x:c r="E53" s="24" t="n">
        <x:v>45000</x:v>
      </x:c>
      <x:c r="F53" s="23" t="str">
        <x:v>Inversión</x:v>
      </x:c>
      <x:c r="G53" s="23" t="str">
        <x:v>Tesorería simulada</x:v>
      </x:c>
      <x:c r="H53" s="23" t="str">
        <x:v>Actual</x:v>
      </x:c>
    </x:row>
    <x:row r="54">
      <x:c r="A54" s="23" t="str">
        <x:v>2024-06</x:v>
      </x:c>
      <x:c r="B54" s="23" t="str">
        <x:v>2024-06-30</x:v>
      </x:c>
      <x:c r="C54" s="23" t="str">
        <x:v>ASSET_SALE_PROCEEDS</x:v>
      </x:c>
      <x:c r="D54" s="23" t="str">
        <x:v>Cobros por venta de activos</x:v>
      </x:c>
      <x:c r="E54" s="24" t="n">
        <x:v>0</x:v>
      </x:c>
      <x:c r="F54" s="23" t="str">
        <x:v>Inversión</x:v>
      </x:c>
      <x:c r="G54" s="23" t="str">
        <x:v>Tesorería simulada</x:v>
      </x:c>
      <x:c r="H54" s="23" t="str">
        <x:v>Actual</x:v>
      </x:c>
    </x:row>
    <x:row r="55">
      <x:c r="A55" s="23" t="str">
        <x:v>2024-06</x:v>
      </x:c>
      <x:c r="B55" s="23" t="str">
        <x:v>2024-06-30</x:v>
      </x:c>
      <x:c r="C55" s="23" t="str">
        <x:v>ACQUISITIONS</x:v>
      </x:c>
      <x:c r="D55" s="23" t="str">
        <x:v>Adquisiciones e inversiones financieras</x:v>
      </x:c>
      <x:c r="E55" s="24" t="n">
        <x:v>0</x:v>
      </x:c>
      <x:c r="F55" s="23" t="str">
        <x:v>Inversión</x:v>
      </x:c>
      <x:c r="G55" s="23" t="str">
        <x:v>Tesorería simulada</x:v>
      </x:c>
      <x:c r="H55" s="23" t="str">
        <x:v>Actual</x:v>
      </x:c>
    </x:row>
    <x:row r="56">
      <x:c r="A56" s="23" t="str">
        <x:v>2024-06</x:v>
      </x:c>
      <x:c r="B56" s="23" t="str">
        <x:v>2024-06-30</x:v>
      </x:c>
      <x:c r="C56" s="23" t="str">
        <x:v>DEBT_DRAWDOWNS</x:v>
      </x:c>
      <x:c r="D56" s="23" t="str">
        <x:v>Disposiciones de deuda</x:v>
      </x:c>
      <x:c r="E56" s="24" t="n">
        <x:v>0</x:v>
      </x:c>
      <x:c r="F56" s="23" t="str">
        <x:v>Financiación</x:v>
      </x:c>
      <x:c r="G56" s="23" t="str">
        <x:v>Tesorería simulada</x:v>
      </x:c>
      <x:c r="H56" s="23" t="str">
        <x:v>Actual</x:v>
      </x:c>
    </x:row>
    <x:row r="57">
      <x:c r="A57" s="23" t="str">
        <x:v>2024-06</x:v>
      </x:c>
      <x:c r="B57" s="23" t="str">
        <x:v>2024-06-30</x:v>
      </x:c>
      <x:c r="C57" s="23" t="str">
        <x:v>DEBT_REPAYMENTS</x:v>
      </x:c>
      <x:c r="D57" s="23" t="str">
        <x:v>Amortizaciones de deuda</x:v>
      </x:c>
      <x:c r="E57" s="24" t="n">
        <x:v>125000</x:v>
      </x:c>
      <x:c r="F57" s="23" t="str">
        <x:v>Financiación</x:v>
      </x:c>
      <x:c r="G57" s="23" t="str">
        <x:v>Tesorería simulada</x:v>
      </x:c>
      <x:c r="H57" s="23" t="str">
        <x:v>Actual</x:v>
      </x:c>
    </x:row>
    <x:row r="58">
      <x:c r="A58" s="23" t="str">
        <x:v>2024-06</x:v>
      </x:c>
      <x:c r="B58" s="23" t="str">
        <x:v>2024-06-30</x:v>
      </x:c>
      <x:c r="C58" s="23" t="str">
        <x:v>LEASE_PRINCIPAL</x:v>
      </x:c>
      <x:c r="D58" s="23" t="str">
        <x:v>Pagos de principal de arrendamientos</x:v>
      </x:c>
      <x:c r="E58" s="24" t="n">
        <x:v>25000</x:v>
      </x:c>
      <x:c r="F58" s="23" t="str">
        <x:v>Financiación</x:v>
      </x:c>
      <x:c r="G58" s="23" t="str">
        <x:v>Tesorería simulada</x:v>
      </x:c>
      <x:c r="H58" s="23" t="str">
        <x:v>Actual</x:v>
      </x:c>
    </x:row>
    <x:row r="59">
      <x:c r="A59" s="23" t="str">
        <x:v>2024-06</x:v>
      </x:c>
      <x:c r="B59" s="23" t="str">
        <x:v>2024-06-30</x:v>
      </x:c>
      <x:c r="C59" s="23" t="str">
        <x:v>DIVIDENDS</x:v>
      </x:c>
      <x:c r="D59" s="23" t="str">
        <x:v>Dividendos pagados</x:v>
      </x:c>
      <x:c r="E59" s="24" t="n">
        <x:v>0</x:v>
      </x:c>
      <x:c r="F59" s="23" t="str">
        <x:v>Financiación</x:v>
      </x:c>
      <x:c r="G59" s="23" t="str">
        <x:v>Tesorería simulada</x:v>
      </x:c>
      <x:c r="H59" s="23" t="str">
        <x:v>Actual</x:v>
      </x:c>
    </x:row>
    <x:row r="60">
      <x:c r="A60" s="23" t="str">
        <x:v>2024-06</x:v>
      </x:c>
      <x:c r="B60" s="23" t="str">
        <x:v>2024-06-30</x:v>
      </x:c>
      <x:c r="C60" s="23" t="str">
        <x:v>CAPITAL_CONTRIBUTIONS</x:v>
      </x:c>
      <x:c r="D60" s="23" t="str">
        <x:v>Aportaciones de capital</x:v>
      </x:c>
      <x:c r="E60" s="24" t="n">
        <x:v>0</x:v>
      </x:c>
      <x:c r="F60" s="23" t="str">
        <x:v>Financiación</x:v>
      </x:c>
      <x:c r="G60" s="23" t="str">
        <x:v>Tesorería simulada</x:v>
      </x:c>
      <x:c r="H60" s="23" t="str">
        <x:v>Actual</x:v>
      </x:c>
    </x:row>
    <x:row r="61">
      <x:c r="A61" s="23" t="str">
        <x:v>2024-06</x:v>
      </x:c>
      <x:c r="B61" s="23" t="str">
        <x:v>2024-06-30</x:v>
      </x:c>
      <x:c r="C61" s="23" t="str">
        <x:v>FX_OTHER</x:v>
      </x:c>
      <x:c r="D61" s="23" t="str">
        <x:v>Efecto de tipo de cambio y otros</x:v>
      </x:c>
      <x:c r="E61" s="24" t="n">
        <x:v>0</x:v>
      </x:c>
      <x:c r="F61" s="23" t="str">
        <x:v>Otros</x:v>
      </x:c>
      <x:c r="G61" s="23" t="str">
        <x:v>Tesorería simulada</x:v>
      </x:c>
      <x:c r="H61" s="23" t="str">
        <x:v>Actual</x:v>
      </x:c>
    </x:row>
    <x:row r="62">
      <x:c r="A62" s="23" t="str">
        <x:v>2024-07</x:v>
      </x:c>
      <x:c r="B62" s="23" t="str">
        <x:v>2024-07-31</x:v>
      </x:c>
      <x:c r="C62" s="23" t="str">
        <x:v>CAPEX</x:v>
      </x:c>
      <x:c r="D62" s="23" t="str">
        <x:v>Inversiones en inmovilizado material</x:v>
      </x:c>
      <x:c r="E62" s="24" t="n">
        <x:v>162732</x:v>
      </x:c>
      <x:c r="F62" s="23" t="str">
        <x:v>Inversión</x:v>
      </x:c>
      <x:c r="G62" s="23" t="str">
        <x:v>Tesorería simulada</x:v>
      </x:c>
      <x:c r="H62" s="23" t="str">
        <x:v>Actual</x:v>
      </x:c>
    </x:row>
    <x:row r="63">
      <x:c r="A63" s="23" t="str">
        <x:v>2024-07</x:v>
      </x:c>
      <x:c r="B63" s="23" t="str">
        <x:v>2024-07-31</x:v>
      </x:c>
      <x:c r="C63" s="23" t="str">
        <x:v>INTANGIBLE_ADDITIONS</x:v>
      </x:c>
      <x:c r="D63" s="23" t="str">
        <x:v>Altas de activos intangibles</x:v>
      </x:c>
      <x:c r="E63" s="24" t="n">
        <x:v>15000</x:v>
      </x:c>
      <x:c r="F63" s="23" t="str">
        <x:v>Inversión</x:v>
      </x:c>
      <x:c r="G63" s="23" t="str">
        <x:v>Tesorería simulada</x:v>
      </x:c>
      <x:c r="H63" s="23" t="str">
        <x:v>Actual</x:v>
      </x:c>
    </x:row>
    <x:row r="64">
      <x:c r="A64" s="23" t="str">
        <x:v>2024-07</x:v>
      </x:c>
      <x:c r="B64" s="23" t="str">
        <x:v>2024-07-31</x:v>
      </x:c>
      <x:c r="C64" s="23" t="str">
        <x:v>ASSET_SALE_PROCEEDS</x:v>
      </x:c>
      <x:c r="D64" s="23" t="str">
        <x:v>Cobros por venta de activos</x:v>
      </x:c>
      <x:c r="E64" s="24" t="n">
        <x:v>0</x:v>
      </x:c>
      <x:c r="F64" s="23" t="str">
        <x:v>Inversión</x:v>
      </x:c>
      <x:c r="G64" s="23" t="str">
        <x:v>Tesorería simulada</x:v>
      </x:c>
      <x:c r="H64" s="23" t="str">
        <x:v>Actual</x:v>
      </x:c>
    </x:row>
    <x:row r="65">
      <x:c r="A65" s="23" t="str">
        <x:v>2024-07</x:v>
      </x:c>
      <x:c r="B65" s="23" t="str">
        <x:v>2024-07-31</x:v>
      </x:c>
      <x:c r="C65" s="23" t="str">
        <x:v>ACQUISITIONS</x:v>
      </x:c>
      <x:c r="D65" s="23" t="str">
        <x:v>Adquisiciones e inversiones financieras</x:v>
      </x:c>
      <x:c r="E65" s="24" t="n">
        <x:v>0</x:v>
      </x:c>
      <x:c r="F65" s="23" t="str">
        <x:v>Inversión</x:v>
      </x:c>
      <x:c r="G65" s="23" t="str">
        <x:v>Tesorería simulada</x:v>
      </x:c>
      <x:c r="H65" s="23" t="str">
        <x:v>Actual</x:v>
      </x:c>
    </x:row>
    <x:row r="66">
      <x:c r="A66" s="23" t="str">
        <x:v>2024-07</x:v>
      </x:c>
      <x:c r="B66" s="23" t="str">
        <x:v>2024-07-31</x:v>
      </x:c>
      <x:c r="C66" s="23" t="str">
        <x:v>DEBT_DRAWDOWNS</x:v>
      </x:c>
      <x:c r="D66" s="23" t="str">
        <x:v>Disposiciones de deuda</x:v>
      </x:c>
      <x:c r="E66" s="24" t="n">
        <x:v>0</x:v>
      </x:c>
      <x:c r="F66" s="23" t="str">
        <x:v>Financiación</x:v>
      </x:c>
      <x:c r="G66" s="23" t="str">
        <x:v>Tesorería simulada</x:v>
      </x:c>
      <x:c r="H66" s="23" t="str">
        <x:v>Actual</x:v>
      </x:c>
    </x:row>
    <x:row r="67">
      <x:c r="A67" s="23" t="str">
        <x:v>2024-07</x:v>
      </x:c>
      <x:c r="B67" s="23" t="str">
        <x:v>2024-07-31</x:v>
      </x:c>
      <x:c r="C67" s="23" t="str">
        <x:v>DEBT_REPAYMENTS</x:v>
      </x:c>
      <x:c r="D67" s="23" t="str">
        <x:v>Amortizaciones de deuda</x:v>
      </x:c>
      <x:c r="E67" s="24" t="n">
        <x:v>0</x:v>
      </x:c>
      <x:c r="F67" s="23" t="str">
        <x:v>Financiación</x:v>
      </x:c>
      <x:c r="G67" s="23" t="str">
        <x:v>Tesorería simulada</x:v>
      </x:c>
      <x:c r="H67" s="23" t="str">
        <x:v>Actual</x:v>
      </x:c>
    </x:row>
    <x:row r="68">
      <x:c r="A68" s="23" t="str">
        <x:v>2024-07</x:v>
      </x:c>
      <x:c r="B68" s="23" t="str">
        <x:v>2024-07-31</x:v>
      </x:c>
      <x:c r="C68" s="23" t="str">
        <x:v>LEASE_PRINCIPAL</x:v>
      </x:c>
      <x:c r="D68" s="23" t="str">
        <x:v>Pagos de principal de arrendamientos</x:v>
      </x:c>
      <x:c r="E68" s="24" t="n">
        <x:v>25000</x:v>
      </x:c>
      <x:c r="F68" s="23" t="str">
        <x:v>Financiación</x:v>
      </x:c>
      <x:c r="G68" s="23" t="str">
        <x:v>Tesorería simulada</x:v>
      </x:c>
      <x:c r="H68" s="23" t="str">
        <x:v>Actual</x:v>
      </x:c>
    </x:row>
    <x:row r="69">
      <x:c r="A69" s="23" t="str">
        <x:v>2024-07</x:v>
      </x:c>
      <x:c r="B69" s="23" t="str">
        <x:v>2024-07-31</x:v>
      </x:c>
      <x:c r="C69" s="23" t="str">
        <x:v>DIVIDENDS</x:v>
      </x:c>
      <x:c r="D69" s="23" t="str">
        <x:v>Dividendos pagados</x:v>
      </x:c>
      <x:c r="E69" s="24" t="n">
        <x:v>0</x:v>
      </x:c>
      <x:c r="F69" s="23" t="str">
        <x:v>Financiación</x:v>
      </x:c>
      <x:c r="G69" s="23" t="str">
        <x:v>Tesorería simulada</x:v>
      </x:c>
      <x:c r="H69" s="23" t="str">
        <x:v>Actual</x:v>
      </x:c>
    </x:row>
    <x:row r="70">
      <x:c r="A70" s="23" t="str">
        <x:v>2024-07</x:v>
      </x:c>
      <x:c r="B70" s="23" t="str">
        <x:v>2024-07-31</x:v>
      </x:c>
      <x:c r="C70" s="23" t="str">
        <x:v>CAPITAL_CONTRIBUTIONS</x:v>
      </x:c>
      <x:c r="D70" s="23" t="str">
        <x:v>Aportaciones de capital</x:v>
      </x:c>
      <x:c r="E70" s="24" t="n">
        <x:v>0</x:v>
      </x:c>
      <x:c r="F70" s="23" t="str">
        <x:v>Financiación</x:v>
      </x:c>
      <x:c r="G70" s="23" t="str">
        <x:v>Tesorería simulada</x:v>
      </x:c>
      <x:c r="H70" s="23" t="str">
        <x:v>Actual</x:v>
      </x:c>
    </x:row>
    <x:row r="71">
      <x:c r="A71" s="23" t="str">
        <x:v>2024-07</x:v>
      </x:c>
      <x:c r="B71" s="23" t="str">
        <x:v>2024-07-31</x:v>
      </x:c>
      <x:c r="C71" s="23" t="str">
        <x:v>FX_OTHER</x:v>
      </x:c>
      <x:c r="D71" s="23" t="str">
        <x:v>Efecto de tipo de cambio y otros</x:v>
      </x:c>
      <x:c r="E71" s="24" t="n">
        <x:v>0</x:v>
      </x:c>
      <x:c r="F71" s="23" t="str">
        <x:v>Otros</x:v>
      </x:c>
      <x:c r="G71" s="23" t="str">
        <x:v>Tesorería simulada</x:v>
      </x:c>
      <x:c r="H71" s="23" t="str">
        <x:v>Actual</x:v>
      </x:c>
    </x:row>
    <x:row r="72">
      <x:c r="A72" s="23" t="str">
        <x:v>2024-08</x:v>
      </x:c>
      <x:c r="B72" s="23" t="str">
        <x:v>2024-08-31</x:v>
      </x:c>
      <x:c r="C72" s="23" t="str">
        <x:v>CAPEX</x:v>
      </x:c>
      <x:c r="D72" s="23" t="str">
        <x:v>Inversiones en inmovilizado material</x:v>
      </x:c>
      <x:c r="E72" s="24" t="n">
        <x:v>158077</x:v>
      </x:c>
      <x:c r="F72" s="23" t="str">
        <x:v>Inversión</x:v>
      </x:c>
      <x:c r="G72" s="23" t="str">
        <x:v>Tesorería simulada</x:v>
      </x:c>
      <x:c r="H72" s="23" t="str">
        <x:v>Actual</x:v>
      </x:c>
    </x:row>
    <x:row r="73">
      <x:c r="A73" s="23" t="str">
        <x:v>2024-08</x:v>
      </x:c>
      <x:c r="B73" s="23" t="str">
        <x:v>2024-08-31</x:v>
      </x:c>
      <x:c r="C73" s="23" t="str">
        <x:v>INTANGIBLE_ADDITIONS</x:v>
      </x:c>
      <x:c r="D73" s="23" t="str">
        <x:v>Altas de activos intangibles</x:v>
      </x:c>
      <x:c r="E73" s="24" t="n">
        <x:v>15000</x:v>
      </x:c>
      <x:c r="F73" s="23" t="str">
        <x:v>Inversión</x:v>
      </x:c>
      <x:c r="G73" s="23" t="str">
        <x:v>Tesorería simulada</x:v>
      </x:c>
      <x:c r="H73" s="23" t="str">
        <x:v>Actual</x:v>
      </x:c>
    </x:row>
    <x:row r="74">
      <x:c r="A74" s="23" t="str">
        <x:v>2024-08</x:v>
      </x:c>
      <x:c r="B74" s="23" t="str">
        <x:v>2024-08-31</x:v>
      </x:c>
      <x:c r="C74" s="23" t="str">
        <x:v>ASSET_SALE_PROCEEDS</x:v>
      </x:c>
      <x:c r="D74" s="23" t="str">
        <x:v>Cobros por venta de activos</x:v>
      </x:c>
      <x:c r="E74" s="24" t="n">
        <x:v>0</x:v>
      </x:c>
      <x:c r="F74" s="23" t="str">
        <x:v>Inversión</x:v>
      </x:c>
      <x:c r="G74" s="23" t="str">
        <x:v>Tesorería simulada</x:v>
      </x:c>
      <x:c r="H74" s="23" t="str">
        <x:v>Actual</x:v>
      </x:c>
    </x:row>
    <x:row r="75">
      <x:c r="A75" s="23" t="str">
        <x:v>2024-08</x:v>
      </x:c>
      <x:c r="B75" s="23" t="str">
        <x:v>2024-08-31</x:v>
      </x:c>
      <x:c r="C75" s="23" t="str">
        <x:v>ACQUISITIONS</x:v>
      </x:c>
      <x:c r="D75" s="23" t="str">
        <x:v>Adquisiciones e inversiones financieras</x:v>
      </x:c>
      <x:c r="E75" s="24" t="n">
        <x:v>0</x:v>
      </x:c>
      <x:c r="F75" s="23" t="str">
        <x:v>Inversión</x:v>
      </x:c>
      <x:c r="G75" s="23" t="str">
        <x:v>Tesorería simulada</x:v>
      </x:c>
      <x:c r="H75" s="23" t="str">
        <x:v>Actual</x:v>
      </x:c>
    </x:row>
    <x:row r="76">
      <x:c r="A76" s="23" t="str">
        <x:v>2024-08</x:v>
      </x:c>
      <x:c r="B76" s="23" t="str">
        <x:v>2024-08-31</x:v>
      </x:c>
      <x:c r="C76" s="23" t="str">
        <x:v>DEBT_DRAWDOWNS</x:v>
      </x:c>
      <x:c r="D76" s="23" t="str">
        <x:v>Disposiciones de deuda</x:v>
      </x:c>
      <x:c r="E76" s="24" t="n">
        <x:v>0</x:v>
      </x:c>
      <x:c r="F76" s="23" t="str">
        <x:v>Financiación</x:v>
      </x:c>
      <x:c r="G76" s="23" t="str">
        <x:v>Tesorería simulada</x:v>
      </x:c>
      <x:c r="H76" s="23" t="str">
        <x:v>Actual</x:v>
      </x:c>
    </x:row>
    <x:row r="77">
      <x:c r="A77" s="23" t="str">
        <x:v>2024-08</x:v>
      </x:c>
      <x:c r="B77" s="23" t="str">
        <x:v>2024-08-31</x:v>
      </x:c>
      <x:c r="C77" s="23" t="str">
        <x:v>DEBT_REPAYMENTS</x:v>
      </x:c>
      <x:c r="D77" s="23" t="str">
        <x:v>Amortizaciones de deuda</x:v>
      </x:c>
      <x:c r="E77" s="24" t="n">
        <x:v>0</x:v>
      </x:c>
      <x:c r="F77" s="23" t="str">
        <x:v>Financiación</x:v>
      </x:c>
      <x:c r="G77" s="23" t="str">
        <x:v>Tesorería simulada</x:v>
      </x:c>
      <x:c r="H77" s="23" t="str">
        <x:v>Actual</x:v>
      </x:c>
    </x:row>
    <x:row r="78">
      <x:c r="A78" s="23" t="str">
        <x:v>2024-08</x:v>
      </x:c>
      <x:c r="B78" s="23" t="str">
        <x:v>2024-08-31</x:v>
      </x:c>
      <x:c r="C78" s="23" t="str">
        <x:v>LEASE_PRINCIPAL</x:v>
      </x:c>
      <x:c r="D78" s="23" t="str">
        <x:v>Pagos de principal de arrendamientos</x:v>
      </x:c>
      <x:c r="E78" s="24" t="n">
        <x:v>25000</x:v>
      </x:c>
      <x:c r="F78" s="23" t="str">
        <x:v>Financiación</x:v>
      </x:c>
      <x:c r="G78" s="23" t="str">
        <x:v>Tesorería simulada</x:v>
      </x:c>
      <x:c r="H78" s="23" t="str">
        <x:v>Actual</x:v>
      </x:c>
    </x:row>
    <x:row r="79">
      <x:c r="A79" s="23" t="str">
        <x:v>2024-08</x:v>
      </x:c>
      <x:c r="B79" s="23" t="str">
        <x:v>2024-08-31</x:v>
      </x:c>
      <x:c r="C79" s="23" t="str">
        <x:v>DIVIDENDS</x:v>
      </x:c>
      <x:c r="D79" s="23" t="str">
        <x:v>Dividendos pagados</x:v>
      </x:c>
      <x:c r="E79" s="24" t="n">
        <x:v>0</x:v>
      </x:c>
      <x:c r="F79" s="23" t="str">
        <x:v>Financiación</x:v>
      </x:c>
      <x:c r="G79" s="23" t="str">
        <x:v>Tesorería simulada</x:v>
      </x:c>
      <x:c r="H79" s="23" t="str">
        <x:v>Actual</x:v>
      </x:c>
    </x:row>
    <x:row r="80">
      <x:c r="A80" s="23" t="str">
        <x:v>2024-08</x:v>
      </x:c>
      <x:c r="B80" s="23" t="str">
        <x:v>2024-08-31</x:v>
      </x:c>
      <x:c r="C80" s="23" t="str">
        <x:v>CAPITAL_CONTRIBUTIONS</x:v>
      </x:c>
      <x:c r="D80" s="23" t="str">
        <x:v>Aportaciones de capital</x:v>
      </x:c>
      <x:c r="E80" s="24" t="n">
        <x:v>0</x:v>
      </x:c>
      <x:c r="F80" s="23" t="str">
        <x:v>Financiación</x:v>
      </x:c>
      <x:c r="G80" s="23" t="str">
        <x:v>Tesorería simulada</x:v>
      </x:c>
      <x:c r="H80" s="23" t="str">
        <x:v>Actual</x:v>
      </x:c>
    </x:row>
    <x:row r="81">
      <x:c r="A81" s="23" t="str">
        <x:v>2024-08</x:v>
      </x:c>
      <x:c r="B81" s="23" t="str">
        <x:v>2024-08-31</x:v>
      </x:c>
      <x:c r="C81" s="23" t="str">
        <x:v>FX_OTHER</x:v>
      </x:c>
      <x:c r="D81" s="23" t="str">
        <x:v>Efecto de tipo de cambio y otros</x:v>
      </x:c>
      <x:c r="E81" s="24" t="n">
        <x:v>0</x:v>
      </x:c>
      <x:c r="F81" s="23" t="str">
        <x:v>Otros</x:v>
      </x:c>
      <x:c r="G81" s="23" t="str">
        <x:v>Tesorería simulada</x:v>
      </x:c>
      <x:c r="H81" s="23" t="str">
        <x:v>Actual</x:v>
      </x:c>
    </x:row>
    <x:row r="82">
      <x:c r="A82" s="23" t="str">
        <x:v>2024-09</x:v>
      </x:c>
      <x:c r="B82" s="23" t="str">
        <x:v>2024-09-30</x:v>
      </x:c>
      <x:c r="C82" s="23" t="str">
        <x:v>CAPEX</x:v>
      </x:c>
      <x:c r="D82" s="23" t="str">
        <x:v>Inversiones en inmovilizado material</x:v>
      </x:c>
      <x:c r="E82" s="24" t="n">
        <x:v>151432</x:v>
      </x:c>
      <x:c r="F82" s="23" t="str">
        <x:v>Inversión</x:v>
      </x:c>
      <x:c r="G82" s="23" t="str">
        <x:v>Tesorería simulada</x:v>
      </x:c>
      <x:c r="H82" s="23" t="str">
        <x:v>Actual</x:v>
      </x:c>
    </x:row>
    <x:row r="83">
      <x:c r="A83" s="23" t="str">
        <x:v>2024-09</x:v>
      </x:c>
      <x:c r="B83" s="23" t="str">
        <x:v>2024-09-30</x:v>
      </x:c>
      <x:c r="C83" s="23" t="str">
        <x:v>INTANGIBLE_ADDITIONS</x:v>
      </x:c>
      <x:c r="D83" s="23" t="str">
        <x:v>Altas de activos intangibles</x:v>
      </x:c>
      <x:c r="E83" s="24" t="n">
        <x:v>45000</x:v>
      </x:c>
      <x:c r="F83" s="23" t="str">
        <x:v>Inversión</x:v>
      </x:c>
      <x:c r="G83" s="23" t="str">
        <x:v>Tesorería simulada</x:v>
      </x:c>
      <x:c r="H83" s="23" t="str">
        <x:v>Actual</x:v>
      </x:c>
    </x:row>
    <x:row r="84">
      <x:c r="A84" s="23" t="str">
        <x:v>2024-09</x:v>
      </x:c>
      <x:c r="B84" s="23" t="str">
        <x:v>2024-09-30</x:v>
      </x:c>
      <x:c r="C84" s="23" t="str">
        <x:v>ASSET_SALE_PROCEEDS</x:v>
      </x:c>
      <x:c r="D84" s="23" t="str">
        <x:v>Cobros por venta de activos</x:v>
      </x:c>
      <x:c r="E84" s="24" t="n">
        <x:v>0</x:v>
      </x:c>
      <x:c r="F84" s="23" t="str">
        <x:v>Inversión</x:v>
      </x:c>
      <x:c r="G84" s="23" t="str">
        <x:v>Tesorería simulada</x:v>
      </x:c>
      <x:c r="H84" s="23" t="str">
        <x:v>Actual</x:v>
      </x:c>
    </x:row>
    <x:row r="85">
      <x:c r="A85" s="23" t="str">
        <x:v>2024-09</x:v>
      </x:c>
      <x:c r="B85" s="23" t="str">
        <x:v>2024-09-30</x:v>
      </x:c>
      <x:c r="C85" s="23" t="str">
        <x:v>ACQUISITIONS</x:v>
      </x:c>
      <x:c r="D85" s="23" t="str">
        <x:v>Adquisiciones e inversiones financieras</x:v>
      </x:c>
      <x:c r="E85" s="24" t="n">
        <x:v>0</x:v>
      </x:c>
      <x:c r="F85" s="23" t="str">
        <x:v>Inversión</x:v>
      </x:c>
      <x:c r="G85" s="23" t="str">
        <x:v>Tesorería simulada</x:v>
      </x:c>
      <x:c r="H85" s="23" t="str">
        <x:v>Actual</x:v>
      </x:c>
    </x:row>
    <x:row r="86">
      <x:c r="A86" s="23" t="str">
        <x:v>2024-09</x:v>
      </x:c>
      <x:c r="B86" s="23" t="str">
        <x:v>2024-09-30</x:v>
      </x:c>
      <x:c r="C86" s="23" t="str">
        <x:v>DEBT_DRAWDOWNS</x:v>
      </x:c>
      <x:c r="D86" s="23" t="str">
        <x:v>Disposiciones de deuda</x:v>
      </x:c>
      <x:c r="E86" s="24" t="n">
        <x:v>0</x:v>
      </x:c>
      <x:c r="F86" s="23" t="str">
        <x:v>Financiación</x:v>
      </x:c>
      <x:c r="G86" s="23" t="str">
        <x:v>Tesorería simulada</x:v>
      </x:c>
      <x:c r="H86" s="23" t="str">
        <x:v>Actual</x:v>
      </x:c>
    </x:row>
    <x:row r="87">
      <x:c r="A87" s="23" t="str">
        <x:v>2024-09</x:v>
      </x:c>
      <x:c r="B87" s="23" t="str">
        <x:v>2024-09-30</x:v>
      </x:c>
      <x:c r="C87" s="23" t="str">
        <x:v>DEBT_REPAYMENTS</x:v>
      </x:c>
      <x:c r="D87" s="23" t="str">
        <x:v>Amortizaciones de deuda</x:v>
      </x:c>
      <x:c r="E87" s="24" t="n">
        <x:v>125000</x:v>
      </x:c>
      <x:c r="F87" s="23" t="str">
        <x:v>Financiación</x:v>
      </x:c>
      <x:c r="G87" s="23" t="str">
        <x:v>Tesorería simulada</x:v>
      </x:c>
      <x:c r="H87" s="23" t="str">
        <x:v>Actual</x:v>
      </x:c>
    </x:row>
    <x:row r="88">
      <x:c r="A88" s="23" t="str">
        <x:v>2024-09</x:v>
      </x:c>
      <x:c r="B88" s="23" t="str">
        <x:v>2024-09-30</x:v>
      </x:c>
      <x:c r="C88" s="23" t="str">
        <x:v>LEASE_PRINCIPAL</x:v>
      </x:c>
      <x:c r="D88" s="23" t="str">
        <x:v>Pagos de principal de arrendamientos</x:v>
      </x:c>
      <x:c r="E88" s="24" t="n">
        <x:v>25000</x:v>
      </x:c>
      <x:c r="F88" s="23" t="str">
        <x:v>Financiación</x:v>
      </x:c>
      <x:c r="G88" s="23" t="str">
        <x:v>Tesorería simulada</x:v>
      </x:c>
      <x:c r="H88" s="23" t="str">
        <x:v>Actual</x:v>
      </x:c>
    </x:row>
    <x:row r="89">
      <x:c r="A89" s="23" t="str">
        <x:v>2024-09</x:v>
      </x:c>
      <x:c r="B89" s="23" t="str">
        <x:v>2024-09-30</x:v>
      </x:c>
      <x:c r="C89" s="23" t="str">
        <x:v>DIVIDENDS</x:v>
      </x:c>
      <x:c r="D89" s="23" t="str">
        <x:v>Dividendos pagados</x:v>
      </x:c>
      <x:c r="E89" s="24" t="n">
        <x:v>0</x:v>
      </x:c>
      <x:c r="F89" s="23" t="str">
        <x:v>Financiación</x:v>
      </x:c>
      <x:c r="G89" s="23" t="str">
        <x:v>Tesorería simulada</x:v>
      </x:c>
      <x:c r="H89" s="23" t="str">
        <x:v>Actual</x:v>
      </x:c>
    </x:row>
    <x:row r="90">
      <x:c r="A90" s="23" t="str">
        <x:v>2024-09</x:v>
      </x:c>
      <x:c r="B90" s="23" t="str">
        <x:v>2024-09-30</x:v>
      </x:c>
      <x:c r="C90" s="23" t="str">
        <x:v>CAPITAL_CONTRIBUTIONS</x:v>
      </x:c>
      <x:c r="D90" s="23" t="str">
        <x:v>Aportaciones de capital</x:v>
      </x:c>
      <x:c r="E90" s="24" t="n">
        <x:v>0</x:v>
      </x:c>
      <x:c r="F90" s="23" t="str">
        <x:v>Financiación</x:v>
      </x:c>
      <x:c r="G90" s="23" t="str">
        <x:v>Tesorería simulada</x:v>
      </x:c>
      <x:c r="H90" s="23" t="str">
        <x:v>Actual</x:v>
      </x:c>
    </x:row>
    <x:row r="91">
      <x:c r="A91" s="23" t="str">
        <x:v>2024-09</x:v>
      </x:c>
      <x:c r="B91" s="23" t="str">
        <x:v>2024-09-30</x:v>
      </x:c>
      <x:c r="C91" s="23" t="str">
        <x:v>FX_OTHER</x:v>
      </x:c>
      <x:c r="D91" s="23" t="str">
        <x:v>Efecto de tipo de cambio y otros</x:v>
      </x:c>
      <x:c r="E91" s="24" t="n">
        <x:v>0</x:v>
      </x:c>
      <x:c r="F91" s="23" t="str">
        <x:v>Otros</x:v>
      </x:c>
      <x:c r="G91" s="23" t="str">
        <x:v>Tesorería simulada</x:v>
      </x:c>
      <x:c r="H91" s="23" t="str">
        <x:v>Actual</x:v>
      </x:c>
    </x:row>
    <x:row r="92">
      <x:c r="A92" s="23" t="str">
        <x:v>2024-10</x:v>
      </x:c>
      <x:c r="B92" s="23" t="str">
        <x:v>2024-10-31</x:v>
      </x:c>
      <x:c r="C92" s="23" t="str">
        <x:v>CAPEX</x:v>
      </x:c>
      <x:c r="D92" s="23" t="str">
        <x:v>Inversiones en inmovilizado material</x:v>
      </x:c>
      <x:c r="E92" s="24" t="n">
        <x:v>143528</x:v>
      </x:c>
      <x:c r="F92" s="23" t="str">
        <x:v>Inversión</x:v>
      </x:c>
      <x:c r="G92" s="23" t="str">
        <x:v>Tesorería simulada</x:v>
      </x:c>
      <x:c r="H92" s="23" t="str">
        <x:v>Actual</x:v>
      </x:c>
    </x:row>
    <x:row r="93">
      <x:c r="A93" s="23" t="str">
        <x:v>2024-10</x:v>
      </x:c>
      <x:c r="B93" s="23" t="str">
        <x:v>2024-10-31</x:v>
      </x:c>
      <x:c r="C93" s="23" t="str">
        <x:v>INTANGIBLE_ADDITIONS</x:v>
      </x:c>
      <x:c r="D93" s="23" t="str">
        <x:v>Altas de activos intangibles</x:v>
      </x:c>
      <x:c r="E93" s="24" t="n">
        <x:v>15000</x:v>
      </x:c>
      <x:c r="F93" s="23" t="str">
        <x:v>Inversión</x:v>
      </x:c>
      <x:c r="G93" s="23" t="str">
        <x:v>Tesorería simulada</x:v>
      </x:c>
      <x:c r="H93" s="23" t="str">
        <x:v>Actual</x:v>
      </x:c>
    </x:row>
    <x:row r="94">
      <x:c r="A94" s="23" t="str">
        <x:v>2024-10</x:v>
      </x:c>
      <x:c r="B94" s="23" t="str">
        <x:v>2024-10-31</x:v>
      </x:c>
      <x:c r="C94" s="23" t="str">
        <x:v>ASSET_SALE_PROCEEDS</x:v>
      </x:c>
      <x:c r="D94" s="23" t="str">
        <x:v>Cobros por venta de activos</x:v>
      </x:c>
      <x:c r="E94" s="24" t="n">
        <x:v>0</x:v>
      </x:c>
      <x:c r="F94" s="23" t="str">
        <x:v>Inversión</x:v>
      </x:c>
      <x:c r="G94" s="23" t="str">
        <x:v>Tesorería simulada</x:v>
      </x:c>
      <x:c r="H94" s="23" t="str">
        <x:v>Actual</x:v>
      </x:c>
    </x:row>
    <x:row r="95">
      <x:c r="A95" s="23" t="str">
        <x:v>2024-10</x:v>
      </x:c>
      <x:c r="B95" s="23" t="str">
        <x:v>2024-10-31</x:v>
      </x:c>
      <x:c r="C95" s="23" t="str">
        <x:v>ACQUISITIONS</x:v>
      </x:c>
      <x:c r="D95" s="23" t="str">
        <x:v>Adquisiciones e inversiones financieras</x:v>
      </x:c>
      <x:c r="E95" s="24" t="n">
        <x:v>0</x:v>
      </x:c>
      <x:c r="F95" s="23" t="str">
        <x:v>Inversión</x:v>
      </x:c>
      <x:c r="G95" s="23" t="str">
        <x:v>Tesorería simulada</x:v>
      </x:c>
      <x:c r="H95" s="23" t="str">
        <x:v>Actual</x:v>
      </x:c>
    </x:row>
    <x:row r="96">
      <x:c r="A96" s="23" t="str">
        <x:v>2024-10</x:v>
      </x:c>
      <x:c r="B96" s="23" t="str">
        <x:v>2024-10-31</x:v>
      </x:c>
      <x:c r="C96" s="23" t="str">
        <x:v>DEBT_DRAWDOWNS</x:v>
      </x:c>
      <x:c r="D96" s="23" t="str">
        <x:v>Disposiciones de deuda</x:v>
      </x:c>
      <x:c r="E96" s="24" t="n">
        <x:v>0</x:v>
      </x:c>
      <x:c r="F96" s="23" t="str">
        <x:v>Financiación</x:v>
      </x:c>
      <x:c r="G96" s="23" t="str">
        <x:v>Tesorería simulada</x:v>
      </x:c>
      <x:c r="H96" s="23" t="str">
        <x:v>Actual</x:v>
      </x:c>
    </x:row>
    <x:row r="97">
      <x:c r="A97" s="23" t="str">
        <x:v>2024-10</x:v>
      </x:c>
      <x:c r="B97" s="23" t="str">
        <x:v>2024-10-31</x:v>
      </x:c>
      <x:c r="C97" s="23" t="str">
        <x:v>DEBT_REPAYMENTS</x:v>
      </x:c>
      <x:c r="D97" s="23" t="str">
        <x:v>Amortizaciones de deuda</x:v>
      </x:c>
      <x:c r="E97" s="24" t="n">
        <x:v>0</x:v>
      </x:c>
      <x:c r="F97" s="23" t="str">
        <x:v>Financiación</x:v>
      </x:c>
      <x:c r="G97" s="23" t="str">
        <x:v>Tesorería simulada</x:v>
      </x:c>
      <x:c r="H97" s="23" t="str">
        <x:v>Actual</x:v>
      </x:c>
    </x:row>
    <x:row r="98">
      <x:c r="A98" s="23" t="str">
        <x:v>2024-10</x:v>
      </x:c>
      <x:c r="B98" s="23" t="str">
        <x:v>2024-10-31</x:v>
      </x:c>
      <x:c r="C98" s="23" t="str">
        <x:v>LEASE_PRINCIPAL</x:v>
      </x:c>
      <x:c r="D98" s="23" t="str">
        <x:v>Pagos de principal de arrendamientos</x:v>
      </x:c>
      <x:c r="E98" s="24" t="n">
        <x:v>25000</x:v>
      </x:c>
      <x:c r="F98" s="23" t="str">
        <x:v>Financiación</x:v>
      </x:c>
      <x:c r="G98" s="23" t="str">
        <x:v>Tesorería simulada</x:v>
      </x:c>
      <x:c r="H98" s="23" t="str">
        <x:v>Actual</x:v>
      </x:c>
    </x:row>
    <x:row r="99">
      <x:c r="A99" s="23" t="str">
        <x:v>2024-10</x:v>
      </x:c>
      <x:c r="B99" s="23" t="str">
        <x:v>2024-10-31</x:v>
      </x:c>
      <x:c r="C99" s="23" t="str">
        <x:v>DIVIDENDS</x:v>
      </x:c>
      <x:c r="D99" s="23" t="str">
        <x:v>Dividendos pagados</x:v>
      </x:c>
      <x:c r="E99" s="24" t="n">
        <x:v>0</x:v>
      </x:c>
      <x:c r="F99" s="23" t="str">
        <x:v>Financiación</x:v>
      </x:c>
      <x:c r="G99" s="23" t="str">
        <x:v>Tesorería simulada</x:v>
      </x:c>
      <x:c r="H99" s="23" t="str">
        <x:v>Actual</x:v>
      </x:c>
    </x:row>
    <x:row r="100">
      <x:c r="A100" s="23" t="str">
        <x:v>2024-10</x:v>
      </x:c>
      <x:c r="B100" s="23" t="str">
        <x:v>2024-10-31</x:v>
      </x:c>
      <x:c r="C100" s="23" t="str">
        <x:v>CAPITAL_CONTRIBUTIONS</x:v>
      </x:c>
      <x:c r="D100" s="23" t="str">
        <x:v>Aportaciones de capital</x:v>
      </x:c>
      <x:c r="E100" s="24" t="n">
        <x:v>0</x:v>
      </x:c>
      <x:c r="F100" s="23" t="str">
        <x:v>Financiación</x:v>
      </x:c>
      <x:c r="G100" s="23" t="str">
        <x:v>Tesorería simulada</x:v>
      </x:c>
      <x:c r="H100" s="23" t="str">
        <x:v>Actual</x:v>
      </x:c>
    </x:row>
    <x:row r="101">
      <x:c r="A101" s="23" t="str">
        <x:v>2024-10</x:v>
      </x:c>
      <x:c r="B101" s="23" t="str">
        <x:v>2024-10-31</x:v>
      </x:c>
      <x:c r="C101" s="23" t="str">
        <x:v>FX_OTHER</x:v>
      </x:c>
      <x:c r="D101" s="23" t="str">
        <x:v>Efecto de tipo de cambio y otros</x:v>
      </x:c>
      <x:c r="E101" s="24" t="n">
        <x:v>0</x:v>
      </x:c>
      <x:c r="F101" s="23" t="str">
        <x:v>Otros</x:v>
      </x:c>
      <x:c r="G101" s="23" t="str">
        <x:v>Tesorería simulada</x:v>
      </x:c>
      <x:c r="H101" s="23" t="str">
        <x:v>Actual</x:v>
      </x:c>
    </x:row>
    <x:row r="102">
      <x:c r="A102" s="23" t="str">
        <x:v>2024-11</x:v>
      </x:c>
      <x:c r="B102" s="23" t="str">
        <x:v>2024-11-30</x:v>
      </x:c>
      <x:c r="C102" s="23" t="str">
        <x:v>CAPEX</x:v>
      </x:c>
      <x:c r="D102" s="23" t="str">
        <x:v>Inversiones en inmovilizado material</x:v>
      </x:c>
      <x:c r="E102" s="24" t="n">
        <x:v>135236</x:v>
      </x:c>
      <x:c r="F102" s="23" t="str">
        <x:v>Inversión</x:v>
      </x:c>
      <x:c r="G102" s="23" t="str">
        <x:v>Tesorería simulada</x:v>
      </x:c>
      <x:c r="H102" s="23" t="str">
        <x:v>Actual</x:v>
      </x:c>
    </x:row>
    <x:row r="103">
      <x:c r="A103" s="23" t="str">
        <x:v>2024-11</x:v>
      </x:c>
      <x:c r="B103" s="23" t="str">
        <x:v>2024-11-30</x:v>
      </x:c>
      <x:c r="C103" s="23" t="str">
        <x:v>INTANGIBLE_ADDITIONS</x:v>
      </x:c>
      <x:c r="D103" s="23" t="str">
        <x:v>Altas de activos intangibles</x:v>
      </x:c>
      <x:c r="E103" s="24" t="n">
        <x:v>15000</x:v>
      </x:c>
      <x:c r="F103" s="23" t="str">
        <x:v>Inversión</x:v>
      </x:c>
      <x:c r="G103" s="23" t="str">
        <x:v>Tesorería simulada</x:v>
      </x:c>
      <x:c r="H103" s="23" t="str">
        <x:v>Actual</x:v>
      </x:c>
    </x:row>
    <x:row r="104">
      <x:c r="A104" s="23" t="str">
        <x:v>2024-11</x:v>
      </x:c>
      <x:c r="B104" s="23" t="str">
        <x:v>2024-11-30</x:v>
      </x:c>
      <x:c r="C104" s="23" t="str">
        <x:v>ASSET_SALE_PROCEEDS</x:v>
      </x:c>
      <x:c r="D104" s="23" t="str">
        <x:v>Cobros por venta de activos</x:v>
      </x:c>
      <x:c r="E104" s="24" t="n">
        <x:v>0</x:v>
      </x:c>
      <x:c r="F104" s="23" t="str">
        <x:v>Inversión</x:v>
      </x:c>
      <x:c r="G104" s="23" t="str">
        <x:v>Tesorería simulada</x:v>
      </x:c>
      <x:c r="H104" s="23" t="str">
        <x:v>Actual</x:v>
      </x:c>
    </x:row>
    <x:row r="105">
      <x:c r="A105" s="23" t="str">
        <x:v>2024-11</x:v>
      </x:c>
      <x:c r="B105" s="23" t="str">
        <x:v>2024-11-30</x:v>
      </x:c>
      <x:c r="C105" s="23" t="str">
        <x:v>ACQUISITIONS</x:v>
      </x:c>
      <x:c r="D105" s="23" t="str">
        <x:v>Adquisiciones e inversiones financieras</x:v>
      </x:c>
      <x:c r="E105" s="24" t="n">
        <x:v>0</x:v>
      </x:c>
      <x:c r="F105" s="23" t="str">
        <x:v>Inversión</x:v>
      </x:c>
      <x:c r="G105" s="23" t="str">
        <x:v>Tesorería simulada</x:v>
      </x:c>
      <x:c r="H105" s="23" t="str">
        <x:v>Actual</x:v>
      </x:c>
    </x:row>
    <x:row r="106">
      <x:c r="A106" s="23" t="str">
        <x:v>2024-11</x:v>
      </x:c>
      <x:c r="B106" s="23" t="str">
        <x:v>2024-11-30</x:v>
      </x:c>
      <x:c r="C106" s="23" t="str">
        <x:v>DEBT_DRAWDOWNS</x:v>
      </x:c>
      <x:c r="D106" s="23" t="str">
        <x:v>Disposiciones de deuda</x:v>
      </x:c>
      <x:c r="E106" s="24" t="n">
        <x:v>0</x:v>
      </x:c>
      <x:c r="F106" s="23" t="str">
        <x:v>Financiación</x:v>
      </x:c>
      <x:c r="G106" s="23" t="str">
        <x:v>Tesorería simulada</x:v>
      </x:c>
      <x:c r="H106" s="23" t="str">
        <x:v>Actual</x:v>
      </x:c>
    </x:row>
    <x:row r="107">
      <x:c r="A107" s="23" t="str">
        <x:v>2024-11</x:v>
      </x:c>
      <x:c r="B107" s="23" t="str">
        <x:v>2024-11-30</x:v>
      </x:c>
      <x:c r="C107" s="23" t="str">
        <x:v>DEBT_REPAYMENTS</x:v>
      </x:c>
      <x:c r="D107" s="23" t="str">
        <x:v>Amortizaciones de deuda</x:v>
      </x:c>
      <x:c r="E107" s="24" t="n">
        <x:v>0</x:v>
      </x:c>
      <x:c r="F107" s="23" t="str">
        <x:v>Financiación</x:v>
      </x:c>
      <x:c r="G107" s="23" t="str">
        <x:v>Tesorería simulada</x:v>
      </x:c>
      <x:c r="H107" s="23" t="str">
        <x:v>Actual</x:v>
      </x:c>
    </x:row>
    <x:row r="108">
      <x:c r="A108" s="23" t="str">
        <x:v>2024-11</x:v>
      </x:c>
      <x:c r="B108" s="23" t="str">
        <x:v>2024-11-30</x:v>
      </x:c>
      <x:c r="C108" s="23" t="str">
        <x:v>LEASE_PRINCIPAL</x:v>
      </x:c>
      <x:c r="D108" s="23" t="str">
        <x:v>Pagos de principal de arrendamientos</x:v>
      </x:c>
      <x:c r="E108" s="24" t="n">
        <x:v>25000</x:v>
      </x:c>
      <x:c r="F108" s="23" t="str">
        <x:v>Financiación</x:v>
      </x:c>
      <x:c r="G108" s="23" t="str">
        <x:v>Tesorería simulada</x:v>
      </x:c>
      <x:c r="H108" s="23" t="str">
        <x:v>Actual</x:v>
      </x:c>
    </x:row>
    <x:row r="109">
      <x:c r="A109" s="23" t="str">
        <x:v>2024-11</x:v>
      </x:c>
      <x:c r="B109" s="23" t="str">
        <x:v>2024-11-30</x:v>
      </x:c>
      <x:c r="C109" s="23" t="str">
        <x:v>DIVIDENDS</x:v>
      </x:c>
      <x:c r="D109" s="23" t="str">
        <x:v>Dividendos pagados</x:v>
      </x:c>
      <x:c r="E109" s="24" t="n">
        <x:v>0</x:v>
      </x:c>
      <x:c r="F109" s="23" t="str">
        <x:v>Financiación</x:v>
      </x:c>
      <x:c r="G109" s="23" t="str">
        <x:v>Tesorería simulada</x:v>
      </x:c>
      <x:c r="H109" s="23" t="str">
        <x:v>Actual</x:v>
      </x:c>
    </x:row>
    <x:row r="110">
      <x:c r="A110" s="23" t="str">
        <x:v>2024-11</x:v>
      </x:c>
      <x:c r="B110" s="23" t="str">
        <x:v>2024-11-30</x:v>
      </x:c>
      <x:c r="C110" s="23" t="str">
        <x:v>CAPITAL_CONTRIBUTIONS</x:v>
      </x:c>
      <x:c r="D110" s="23" t="str">
        <x:v>Aportaciones de capital</x:v>
      </x:c>
      <x:c r="E110" s="24" t="n">
        <x:v>0</x:v>
      </x:c>
      <x:c r="F110" s="23" t="str">
        <x:v>Financiación</x:v>
      </x:c>
      <x:c r="G110" s="23" t="str">
        <x:v>Tesorería simulada</x:v>
      </x:c>
      <x:c r="H110" s="23" t="str">
        <x:v>Actual</x:v>
      </x:c>
    </x:row>
    <x:row r="111">
      <x:c r="A111" s="23" t="str">
        <x:v>2024-11</x:v>
      </x:c>
      <x:c r="B111" s="23" t="str">
        <x:v>2024-11-30</x:v>
      </x:c>
      <x:c r="C111" s="23" t="str">
        <x:v>FX_OTHER</x:v>
      </x:c>
      <x:c r="D111" s="23" t="str">
        <x:v>Efecto de tipo de cambio y otros</x:v>
      </x:c>
      <x:c r="E111" s="24" t="n">
        <x:v>0</x:v>
      </x:c>
      <x:c r="F111" s="23" t="str">
        <x:v>Otros</x:v>
      </x:c>
      <x:c r="G111" s="23" t="str">
        <x:v>Tesorería simulada</x:v>
      </x:c>
      <x:c r="H111" s="23" t="str">
        <x:v>Actual</x:v>
      </x:c>
    </x:row>
    <x:row r="112">
      <x:c r="A112" s="23" t="str">
        <x:v>2024-12</x:v>
      </x:c>
      <x:c r="B112" s="23" t="str">
        <x:v>2024-12-31</x:v>
      </x:c>
      <x:c r="C112" s="23" t="str">
        <x:v>CAPEX</x:v>
      </x:c>
      <x:c r="D112" s="23" t="str">
        <x:v>Inversiones en inmovilizado material</x:v>
      </x:c>
      <x:c r="E112" s="24" t="n">
        <x:v>127468</x:v>
      </x:c>
      <x:c r="F112" s="23" t="str">
        <x:v>Inversión</x:v>
      </x:c>
      <x:c r="G112" s="23" t="str">
        <x:v>Tesorería simulada</x:v>
      </x:c>
      <x:c r="H112" s="23" t="str">
        <x:v>Actual</x:v>
      </x:c>
    </x:row>
    <x:row r="113">
      <x:c r="A113" s="23" t="str">
        <x:v>2024-12</x:v>
      </x:c>
      <x:c r="B113" s="23" t="str">
        <x:v>2024-12-31</x:v>
      </x:c>
      <x:c r="C113" s="23" t="str">
        <x:v>INTANGIBLE_ADDITIONS</x:v>
      </x:c>
      <x:c r="D113" s="23" t="str">
        <x:v>Altas de activos intangibles</x:v>
      </x:c>
      <x:c r="E113" s="24" t="n">
        <x:v>45000</x:v>
      </x:c>
      <x:c r="F113" s="23" t="str">
        <x:v>Inversión</x:v>
      </x:c>
      <x:c r="G113" s="23" t="str">
        <x:v>Tesorería simulada</x:v>
      </x:c>
      <x:c r="H113" s="23" t="str">
        <x:v>Actual</x:v>
      </x:c>
    </x:row>
    <x:row r="114">
      <x:c r="A114" s="23" t="str">
        <x:v>2024-12</x:v>
      </x:c>
      <x:c r="B114" s="23" t="str">
        <x:v>2024-12-31</x:v>
      </x:c>
      <x:c r="C114" s="23" t="str">
        <x:v>ASSET_SALE_PROCEEDS</x:v>
      </x:c>
      <x:c r="D114" s="23" t="str">
        <x:v>Cobros por venta de activos</x:v>
      </x:c>
      <x:c r="E114" s="24" t="n">
        <x:v>0</x:v>
      </x:c>
      <x:c r="F114" s="23" t="str">
        <x:v>Inversión</x:v>
      </x:c>
      <x:c r="G114" s="23" t="str">
        <x:v>Tesorería simulada</x:v>
      </x:c>
      <x:c r="H114" s="23" t="str">
        <x:v>Actual</x:v>
      </x:c>
    </x:row>
    <x:row r="115">
      <x:c r="A115" s="23" t="str">
        <x:v>2024-12</x:v>
      </x:c>
      <x:c r="B115" s="23" t="str">
        <x:v>2024-12-31</x:v>
      </x:c>
      <x:c r="C115" s="23" t="str">
        <x:v>ACQUISITIONS</x:v>
      </x:c>
      <x:c r="D115" s="23" t="str">
        <x:v>Adquisiciones e inversiones financieras</x:v>
      </x:c>
      <x:c r="E115" s="24" t="n">
        <x:v>0</x:v>
      </x:c>
      <x:c r="F115" s="23" t="str">
        <x:v>Inversión</x:v>
      </x:c>
      <x:c r="G115" s="23" t="str">
        <x:v>Tesorería simulada</x:v>
      </x:c>
      <x:c r="H115" s="23" t="str">
        <x:v>Actual</x:v>
      </x:c>
    </x:row>
    <x:row r="116">
      <x:c r="A116" s="23" t="str">
        <x:v>2024-12</x:v>
      </x:c>
      <x:c r="B116" s="23" t="str">
        <x:v>2024-12-31</x:v>
      </x:c>
      <x:c r="C116" s="23" t="str">
        <x:v>DEBT_DRAWDOWNS</x:v>
      </x:c>
      <x:c r="D116" s="23" t="str">
        <x:v>Disposiciones de deuda</x:v>
      </x:c>
      <x:c r="E116" s="24" t="n">
        <x:v>0</x:v>
      </x:c>
      <x:c r="F116" s="23" t="str">
        <x:v>Financiación</x:v>
      </x:c>
      <x:c r="G116" s="23" t="str">
        <x:v>Tesorería simulada</x:v>
      </x:c>
      <x:c r="H116" s="23" t="str">
        <x:v>Actual</x:v>
      </x:c>
    </x:row>
    <x:row r="117">
      <x:c r="A117" s="23" t="str">
        <x:v>2024-12</x:v>
      </x:c>
      <x:c r="B117" s="23" t="str">
        <x:v>2024-12-31</x:v>
      </x:c>
      <x:c r="C117" s="23" t="str">
        <x:v>DEBT_REPAYMENTS</x:v>
      </x:c>
      <x:c r="D117" s="23" t="str">
        <x:v>Amortizaciones de deuda</x:v>
      </x:c>
      <x:c r="E117" s="24" t="n">
        <x:v>125000</x:v>
      </x:c>
      <x:c r="F117" s="23" t="str">
        <x:v>Financiación</x:v>
      </x:c>
      <x:c r="G117" s="23" t="str">
        <x:v>Tesorería simulada</x:v>
      </x:c>
      <x:c r="H117" s="23" t="str">
        <x:v>Actual</x:v>
      </x:c>
    </x:row>
    <x:row r="118">
      <x:c r="A118" s="23" t="str">
        <x:v>2024-12</x:v>
      </x:c>
      <x:c r="B118" s="23" t="str">
        <x:v>2024-12-31</x:v>
      </x:c>
      <x:c r="C118" s="23" t="str">
        <x:v>LEASE_PRINCIPAL</x:v>
      </x:c>
      <x:c r="D118" s="23" t="str">
        <x:v>Pagos de principal de arrendamientos</x:v>
      </x:c>
      <x:c r="E118" s="24" t="n">
        <x:v>25000</x:v>
      </x:c>
      <x:c r="F118" s="23" t="str">
        <x:v>Financiación</x:v>
      </x:c>
      <x:c r="G118" s="23" t="str">
        <x:v>Tesorería simulada</x:v>
      </x:c>
      <x:c r="H118" s="23" t="str">
        <x:v>Actual</x:v>
      </x:c>
    </x:row>
    <x:row r="119">
      <x:c r="A119" s="23" t="str">
        <x:v>2024-12</x:v>
      </x:c>
      <x:c r="B119" s="23" t="str">
        <x:v>2024-12-31</x:v>
      </x:c>
      <x:c r="C119" s="23" t="str">
        <x:v>DIVIDENDS</x:v>
      </x:c>
      <x:c r="D119" s="23" t="str">
        <x:v>Dividendos pagados</x:v>
      </x:c>
      <x:c r="E119" s="24" t="n">
        <x:v>150000</x:v>
      </x:c>
      <x:c r="F119" s="23" t="str">
        <x:v>Financiación</x:v>
      </x:c>
      <x:c r="G119" s="23" t="str">
        <x:v>Tesorería simulada</x:v>
      </x:c>
      <x:c r="H119" s="23" t="str">
        <x:v>Actual</x:v>
      </x:c>
    </x:row>
    <x:row r="120">
      <x:c r="A120" s="23" t="str">
        <x:v>2024-12</x:v>
      </x:c>
      <x:c r="B120" s="23" t="str">
        <x:v>2024-12-31</x:v>
      </x:c>
      <x:c r="C120" s="23" t="str">
        <x:v>CAPITAL_CONTRIBUTIONS</x:v>
      </x:c>
      <x:c r="D120" s="23" t="str">
        <x:v>Aportaciones de capital</x:v>
      </x:c>
      <x:c r="E120" s="24" t="n">
        <x:v>0</x:v>
      </x:c>
      <x:c r="F120" s="23" t="str">
        <x:v>Financiación</x:v>
      </x:c>
      <x:c r="G120" s="23" t="str">
        <x:v>Tesorería simulada</x:v>
      </x:c>
      <x:c r="H120" s="23" t="str">
        <x:v>Actual</x:v>
      </x:c>
    </x:row>
    <x:row r="121">
      <x:c r="A121" s="23" t="str">
        <x:v>2024-12</x:v>
      </x:c>
      <x:c r="B121" s="23" t="str">
        <x:v>2024-12-31</x:v>
      </x:c>
      <x:c r="C121" s="23" t="str">
        <x:v>FX_OTHER</x:v>
      </x:c>
      <x:c r="D121" s="23" t="str">
        <x:v>Efecto de tipo de cambio y otros</x:v>
      </x:c>
      <x:c r="E121" s="24" t="n">
        <x:v>0</x:v>
      </x:c>
      <x:c r="F121" s="23" t="str">
        <x:v>Otros</x:v>
      </x:c>
      <x:c r="G121" s="23" t="str">
        <x:v>Tesorería simulada</x:v>
      </x:c>
      <x:c r="H121" s="23" t="str">
        <x:v>Actual</x:v>
      </x:c>
    </x:row>
    <x:row r="122">
      <x:c r="A122" s="23" t="str">
        <x:v>2025-01</x:v>
      </x:c>
      <x:c r="B122" s="23" t="str">
        <x:v>2025-01-31</x:v>
      </x:c>
      <x:c r="C122" s="23" t="str">
        <x:v>CAPEX</x:v>
      </x:c>
      <x:c r="D122" s="23" t="str">
        <x:v>Inversiones en inmovilizado material</x:v>
      </x:c>
      <x:c r="E122" s="24" t="n">
        <x:v>121080</x:v>
      </x:c>
      <x:c r="F122" s="23" t="str">
        <x:v>Inversión</x:v>
      </x:c>
      <x:c r="G122" s="23" t="str">
        <x:v>Tesorería simulada</x:v>
      </x:c>
      <x:c r="H122" s="23" t="str">
        <x:v>Actual</x:v>
      </x:c>
    </x:row>
    <x:row r="123">
      <x:c r="A123" s="23" t="str">
        <x:v>2025-01</x:v>
      </x:c>
      <x:c r="B123" s="23" t="str">
        <x:v>2025-01-31</x:v>
      </x:c>
      <x:c r="C123" s="23" t="str">
        <x:v>INTANGIBLE_ADDITIONS</x:v>
      </x:c>
      <x:c r="D123" s="23" t="str">
        <x:v>Altas de activos intangibles</x:v>
      </x:c>
      <x:c r="E123" s="24" t="n">
        <x:v>15000</x:v>
      </x:c>
      <x:c r="F123" s="23" t="str">
        <x:v>Inversión</x:v>
      </x:c>
      <x:c r="G123" s="23" t="str">
        <x:v>Tesorería simulada</x:v>
      </x:c>
      <x:c r="H123" s="23" t="str">
        <x:v>Actual</x:v>
      </x:c>
    </x:row>
    <x:row r="124">
      <x:c r="A124" s="23" t="str">
        <x:v>2025-01</x:v>
      </x:c>
      <x:c r="B124" s="23" t="str">
        <x:v>2025-01-31</x:v>
      </x:c>
      <x:c r="C124" s="23" t="str">
        <x:v>ASSET_SALE_PROCEEDS</x:v>
      </x:c>
      <x:c r="D124" s="23" t="str">
        <x:v>Cobros por venta de activos</x:v>
      </x:c>
      <x:c r="E124" s="24" t="n">
        <x:v>0</x:v>
      </x:c>
      <x:c r="F124" s="23" t="str">
        <x:v>Inversión</x:v>
      </x:c>
      <x:c r="G124" s="23" t="str">
        <x:v>Tesorería simulada</x:v>
      </x:c>
      <x:c r="H124" s="23" t="str">
        <x:v>Actual</x:v>
      </x:c>
    </x:row>
    <x:row r="125">
      <x:c r="A125" s="23" t="str">
        <x:v>2025-01</x:v>
      </x:c>
      <x:c r="B125" s="23" t="str">
        <x:v>2025-01-31</x:v>
      </x:c>
      <x:c r="C125" s="23" t="str">
        <x:v>ACQUISITIONS</x:v>
      </x:c>
      <x:c r="D125" s="23" t="str">
        <x:v>Adquisiciones e inversiones financieras</x:v>
      </x:c>
      <x:c r="E125" s="24" t="n">
        <x:v>0</x:v>
      </x:c>
      <x:c r="F125" s="23" t="str">
        <x:v>Inversión</x:v>
      </x:c>
      <x:c r="G125" s="23" t="str">
        <x:v>Tesorería simulada</x:v>
      </x:c>
      <x:c r="H125" s="23" t="str">
        <x:v>Actual</x:v>
      </x:c>
    </x:row>
    <x:row r="126">
      <x:c r="A126" s="23" t="str">
        <x:v>2025-01</x:v>
      </x:c>
      <x:c r="B126" s="23" t="str">
        <x:v>2025-01-31</x:v>
      </x:c>
      <x:c r="C126" s="23" t="str">
        <x:v>DEBT_DRAWDOWNS</x:v>
      </x:c>
      <x:c r="D126" s="23" t="str">
        <x:v>Disposiciones de deuda</x:v>
      </x:c>
      <x:c r="E126" s="24" t="n">
        <x:v>0</x:v>
      </x:c>
      <x:c r="F126" s="23" t="str">
        <x:v>Financiación</x:v>
      </x:c>
      <x:c r="G126" s="23" t="str">
        <x:v>Tesorería simulada</x:v>
      </x:c>
      <x:c r="H126" s="23" t="str">
        <x:v>Actual</x:v>
      </x:c>
    </x:row>
    <x:row r="127">
      <x:c r="A127" s="23" t="str">
        <x:v>2025-01</x:v>
      </x:c>
      <x:c r="B127" s="23" t="str">
        <x:v>2025-01-31</x:v>
      </x:c>
      <x:c r="C127" s="23" t="str">
        <x:v>DEBT_REPAYMENTS</x:v>
      </x:c>
      <x:c r="D127" s="23" t="str">
        <x:v>Amortizaciones de deuda</x:v>
      </x:c>
      <x:c r="E127" s="24" t="n">
        <x:v>0</x:v>
      </x:c>
      <x:c r="F127" s="23" t="str">
        <x:v>Financiación</x:v>
      </x:c>
      <x:c r="G127" s="23" t="str">
        <x:v>Tesorería simulada</x:v>
      </x:c>
      <x:c r="H127" s="23" t="str">
        <x:v>Actual</x:v>
      </x:c>
    </x:row>
    <x:row r="128">
      <x:c r="A128" s="23" t="str">
        <x:v>2025-01</x:v>
      </x:c>
      <x:c r="B128" s="23" t="str">
        <x:v>2025-01-31</x:v>
      </x:c>
      <x:c r="C128" s="23" t="str">
        <x:v>LEASE_PRINCIPAL</x:v>
      </x:c>
      <x:c r="D128" s="23" t="str">
        <x:v>Pagos de principal de arrendamientos</x:v>
      </x:c>
      <x:c r="E128" s="24" t="n">
        <x:v>25000</x:v>
      </x:c>
      <x:c r="F128" s="23" t="str">
        <x:v>Financiación</x:v>
      </x:c>
      <x:c r="G128" s="23" t="str">
        <x:v>Tesorería simulada</x:v>
      </x:c>
      <x:c r="H128" s="23" t="str">
        <x:v>Actual</x:v>
      </x:c>
    </x:row>
    <x:row r="129">
      <x:c r="A129" s="23" t="str">
        <x:v>2025-01</x:v>
      </x:c>
      <x:c r="B129" s="23" t="str">
        <x:v>2025-01-31</x:v>
      </x:c>
      <x:c r="C129" s="23" t="str">
        <x:v>DIVIDENDS</x:v>
      </x:c>
      <x:c r="D129" s="23" t="str">
        <x:v>Dividendos pagados</x:v>
      </x:c>
      <x:c r="E129" s="24" t="n">
        <x:v>0</x:v>
      </x:c>
      <x:c r="F129" s="23" t="str">
        <x:v>Financiación</x:v>
      </x:c>
      <x:c r="G129" s="23" t="str">
        <x:v>Tesorería simulada</x:v>
      </x:c>
      <x:c r="H129" s="23" t="str">
        <x:v>Actual</x:v>
      </x:c>
    </x:row>
    <x:row r="130">
      <x:c r="A130" s="23" t="str">
        <x:v>2025-01</x:v>
      </x:c>
      <x:c r="B130" s="23" t="str">
        <x:v>2025-01-31</x:v>
      </x:c>
      <x:c r="C130" s="23" t="str">
        <x:v>CAPITAL_CONTRIBUTIONS</x:v>
      </x:c>
      <x:c r="D130" s="23" t="str">
        <x:v>Aportaciones de capital</x:v>
      </x:c>
      <x:c r="E130" s="24" t="n">
        <x:v>0</x:v>
      </x:c>
      <x:c r="F130" s="23" t="str">
        <x:v>Financiación</x:v>
      </x:c>
      <x:c r="G130" s="23" t="str">
        <x:v>Tesorería simulada</x:v>
      </x:c>
      <x:c r="H130" s="23" t="str">
        <x:v>Actual</x:v>
      </x:c>
    </x:row>
    <x:row r="131">
      <x:c r="A131" s="23" t="str">
        <x:v>2025-01</x:v>
      </x:c>
      <x:c r="B131" s="23" t="str">
        <x:v>2025-01-31</x:v>
      </x:c>
      <x:c r="C131" s="23" t="str">
        <x:v>FX_OTHER</x:v>
      </x:c>
      <x:c r="D131" s="23" t="str">
        <x:v>Efecto de tipo de cambio y otros</x:v>
      </x:c>
      <x:c r="E131" s="24" t="n">
        <x:v>0</x:v>
      </x:c>
      <x:c r="F131" s="23" t="str">
        <x:v>Otros</x:v>
      </x:c>
      <x:c r="G131" s="23" t="str">
        <x:v>Tesorería simulada</x:v>
      </x:c>
      <x:c r="H131" s="23" t="str">
        <x:v>Actual</x:v>
      </x:c>
    </x:row>
    <x:row r="132">
      <x:c r="A132" s="23" t="str">
        <x:v>2025-02</x:v>
      </x:c>
      <x:c r="B132" s="23" t="str">
        <x:v>2025-02-28</x:v>
      </x:c>
      <x:c r="C132" s="23" t="str">
        <x:v>CAPEX</x:v>
      </x:c>
      <x:c r="D132" s="23" t="str">
        <x:v>Inversiones en inmovilizado material</x:v>
      </x:c>
      <x:c r="E132" s="24" t="n">
        <x:v>116775</x:v>
      </x:c>
      <x:c r="F132" s="23" t="str">
        <x:v>Inversión</x:v>
      </x:c>
      <x:c r="G132" s="23" t="str">
        <x:v>Tesorería simulada</x:v>
      </x:c>
      <x:c r="H132" s="23" t="str">
        <x:v>Actual</x:v>
      </x:c>
    </x:row>
    <x:row r="133">
      <x:c r="A133" s="23" t="str">
        <x:v>2025-02</x:v>
      </x:c>
      <x:c r="B133" s="23" t="str">
        <x:v>2025-02-28</x:v>
      </x:c>
      <x:c r="C133" s="23" t="str">
        <x:v>INTANGIBLE_ADDITIONS</x:v>
      </x:c>
      <x:c r="D133" s="23" t="str">
        <x:v>Altas de activos intangibles</x:v>
      </x:c>
      <x:c r="E133" s="24" t="n">
        <x:v>15000</x:v>
      </x:c>
      <x:c r="F133" s="23" t="str">
        <x:v>Inversión</x:v>
      </x:c>
      <x:c r="G133" s="23" t="str">
        <x:v>Tesorería simulada</x:v>
      </x:c>
      <x:c r="H133" s="23" t="str">
        <x:v>Actual</x:v>
      </x:c>
    </x:row>
    <x:row r="134">
      <x:c r="A134" s="23" t="str">
        <x:v>2025-02</x:v>
      </x:c>
      <x:c r="B134" s="23" t="str">
        <x:v>2025-02-28</x:v>
      </x:c>
      <x:c r="C134" s="23" t="str">
        <x:v>ASSET_SALE_PROCEEDS</x:v>
      </x:c>
      <x:c r="D134" s="23" t="str">
        <x:v>Cobros por venta de activos</x:v>
      </x:c>
      <x:c r="E134" s="24" t="n">
        <x:v>0</x:v>
      </x:c>
      <x:c r="F134" s="23" t="str">
        <x:v>Inversión</x:v>
      </x:c>
      <x:c r="G134" s="23" t="str">
        <x:v>Tesorería simulada</x:v>
      </x:c>
      <x:c r="H134" s="23" t="str">
        <x:v>Actual</x:v>
      </x:c>
    </x:row>
    <x:row r="135">
      <x:c r="A135" s="23" t="str">
        <x:v>2025-02</x:v>
      </x:c>
      <x:c r="B135" s="23" t="str">
        <x:v>2025-02-28</x:v>
      </x:c>
      <x:c r="C135" s="23" t="str">
        <x:v>ACQUISITIONS</x:v>
      </x:c>
      <x:c r="D135" s="23" t="str">
        <x:v>Adquisiciones e inversiones financieras</x:v>
      </x:c>
      <x:c r="E135" s="24" t="n">
        <x:v>0</x:v>
      </x:c>
      <x:c r="F135" s="23" t="str">
        <x:v>Inversión</x:v>
      </x:c>
      <x:c r="G135" s="23" t="str">
        <x:v>Tesorería simulada</x:v>
      </x:c>
      <x:c r="H135" s="23" t="str">
        <x:v>Actual</x:v>
      </x:c>
    </x:row>
    <x:row r="136">
      <x:c r="A136" s="23" t="str">
        <x:v>2025-02</x:v>
      </x:c>
      <x:c r="B136" s="23" t="str">
        <x:v>2025-02-28</x:v>
      </x:c>
      <x:c r="C136" s="23" t="str">
        <x:v>DEBT_DRAWDOWNS</x:v>
      </x:c>
      <x:c r="D136" s="23" t="str">
        <x:v>Disposiciones de deuda</x:v>
      </x:c>
      <x:c r="E136" s="24" t="n">
        <x:v>0</x:v>
      </x:c>
      <x:c r="F136" s="23" t="str">
        <x:v>Financiación</x:v>
      </x:c>
      <x:c r="G136" s="23" t="str">
        <x:v>Tesorería simulada</x:v>
      </x:c>
      <x:c r="H136" s="23" t="str">
        <x:v>Actual</x:v>
      </x:c>
    </x:row>
    <x:row r="137">
      <x:c r="A137" s="23" t="str">
        <x:v>2025-02</x:v>
      </x:c>
      <x:c r="B137" s="23" t="str">
        <x:v>2025-02-28</x:v>
      </x:c>
      <x:c r="C137" s="23" t="str">
        <x:v>DEBT_REPAYMENTS</x:v>
      </x:c>
      <x:c r="D137" s="23" t="str">
        <x:v>Amortizaciones de deuda</x:v>
      </x:c>
      <x:c r="E137" s="24" t="n">
        <x:v>0</x:v>
      </x:c>
      <x:c r="F137" s="23" t="str">
        <x:v>Financiación</x:v>
      </x:c>
      <x:c r="G137" s="23" t="str">
        <x:v>Tesorería simulada</x:v>
      </x:c>
      <x:c r="H137" s="23" t="str">
        <x:v>Actual</x:v>
      </x:c>
    </x:row>
    <x:row r="138">
      <x:c r="A138" s="23" t="str">
        <x:v>2025-02</x:v>
      </x:c>
      <x:c r="B138" s="23" t="str">
        <x:v>2025-02-28</x:v>
      </x:c>
      <x:c r="C138" s="23" t="str">
        <x:v>LEASE_PRINCIPAL</x:v>
      </x:c>
      <x:c r="D138" s="23" t="str">
        <x:v>Pagos de principal de arrendamientos</x:v>
      </x:c>
      <x:c r="E138" s="24" t="n">
        <x:v>25000</x:v>
      </x:c>
      <x:c r="F138" s="23" t="str">
        <x:v>Financiación</x:v>
      </x:c>
      <x:c r="G138" s="23" t="str">
        <x:v>Tesorería simulada</x:v>
      </x:c>
      <x:c r="H138" s="23" t="str">
        <x:v>Actual</x:v>
      </x:c>
    </x:row>
    <x:row r="139">
      <x:c r="A139" s="23" t="str">
        <x:v>2025-02</x:v>
      </x:c>
      <x:c r="B139" s="23" t="str">
        <x:v>2025-02-28</x:v>
      </x:c>
      <x:c r="C139" s="23" t="str">
        <x:v>DIVIDENDS</x:v>
      </x:c>
      <x:c r="D139" s="23" t="str">
        <x:v>Dividendos pagados</x:v>
      </x:c>
      <x:c r="E139" s="24" t="n">
        <x:v>0</x:v>
      </x:c>
      <x:c r="F139" s="23" t="str">
        <x:v>Financiación</x:v>
      </x:c>
      <x:c r="G139" s="23" t="str">
        <x:v>Tesorería simulada</x:v>
      </x:c>
      <x:c r="H139" s="23" t="str">
        <x:v>Actual</x:v>
      </x:c>
    </x:row>
    <x:row r="140">
      <x:c r="A140" s="23" t="str">
        <x:v>2025-02</x:v>
      </x:c>
      <x:c r="B140" s="23" t="str">
        <x:v>2025-02-28</x:v>
      </x:c>
      <x:c r="C140" s="23" t="str">
        <x:v>CAPITAL_CONTRIBUTIONS</x:v>
      </x:c>
      <x:c r="D140" s="23" t="str">
        <x:v>Aportaciones de capital</x:v>
      </x:c>
      <x:c r="E140" s="24" t="n">
        <x:v>0</x:v>
      </x:c>
      <x:c r="F140" s="23" t="str">
        <x:v>Financiación</x:v>
      </x:c>
      <x:c r="G140" s="23" t="str">
        <x:v>Tesorería simulada</x:v>
      </x:c>
      <x:c r="H140" s="23" t="str">
        <x:v>Actual</x:v>
      </x:c>
    </x:row>
    <x:row r="141">
      <x:c r="A141" s="23" t="str">
        <x:v>2025-02</x:v>
      </x:c>
      <x:c r="B141" s="23" t="str">
        <x:v>2025-02-28</x:v>
      </x:c>
      <x:c r="C141" s="23" t="str">
        <x:v>FX_OTHER</x:v>
      </x:c>
      <x:c r="D141" s="23" t="str">
        <x:v>Efecto de tipo de cambio y otros</x:v>
      </x:c>
      <x:c r="E141" s="24" t="n">
        <x:v>0</x:v>
      </x:c>
      <x:c r="F141" s="23" t="str">
        <x:v>Otros</x:v>
      </x:c>
      <x:c r="G141" s="23" t="str">
        <x:v>Tesorería simulada</x:v>
      </x:c>
      <x:c r="H141" s="23" t="str">
        <x:v>Actual</x:v>
      </x:c>
    </x:row>
    <x:row r="142">
      <x:c r="A142" s="23" t="str">
        <x:v>2025-03</x:v>
      </x:c>
      <x:c r="B142" s="23" t="str">
        <x:v>2025-03-31</x:v>
      </x:c>
      <x:c r="C142" s="23" t="str">
        <x:v>CAPEX</x:v>
      </x:c>
      <x:c r="D142" s="23" t="str">
        <x:v>Inversiones en inmovilizado material</x:v>
      </x:c>
      <x:c r="E142" s="24" t="n">
        <x:v>115026</x:v>
      </x:c>
      <x:c r="F142" s="23" t="str">
        <x:v>Inversión</x:v>
      </x:c>
      <x:c r="G142" s="23" t="str">
        <x:v>Tesorería simulada</x:v>
      </x:c>
      <x:c r="H142" s="23" t="str">
        <x:v>Actual</x:v>
      </x:c>
    </x:row>
    <x:row r="143">
      <x:c r="A143" s="23" t="str">
        <x:v>2025-03</x:v>
      </x:c>
      <x:c r="B143" s="23" t="str">
        <x:v>2025-03-31</x:v>
      </x:c>
      <x:c r="C143" s="23" t="str">
        <x:v>INTANGIBLE_ADDITIONS</x:v>
      </x:c>
      <x:c r="D143" s="23" t="str">
        <x:v>Altas de activos intangibles</x:v>
      </x:c>
      <x:c r="E143" s="24" t="n">
        <x:v>45000</x:v>
      </x:c>
      <x:c r="F143" s="23" t="str">
        <x:v>Inversión</x:v>
      </x:c>
      <x:c r="G143" s="23" t="str">
        <x:v>Tesorería simulada</x:v>
      </x:c>
      <x:c r="H143" s="23" t="str">
        <x:v>Actual</x:v>
      </x:c>
    </x:row>
    <x:row r="144">
      <x:c r="A144" s="23" t="str">
        <x:v>2025-03</x:v>
      </x:c>
      <x:c r="B144" s="23" t="str">
        <x:v>2025-03-31</x:v>
      </x:c>
      <x:c r="C144" s="23" t="str">
        <x:v>ASSET_SALE_PROCEEDS</x:v>
      </x:c>
      <x:c r="D144" s="23" t="str">
        <x:v>Cobros por venta de activos</x:v>
      </x:c>
      <x:c r="E144" s="24" t="n">
        <x:v>0</x:v>
      </x:c>
      <x:c r="F144" s="23" t="str">
        <x:v>Inversión</x:v>
      </x:c>
      <x:c r="G144" s="23" t="str">
        <x:v>Tesorería simulada</x:v>
      </x:c>
      <x:c r="H144" s="23" t="str">
        <x:v>Actual</x:v>
      </x:c>
    </x:row>
    <x:row r="145">
      <x:c r="A145" s="23" t="str">
        <x:v>2025-03</x:v>
      </x:c>
      <x:c r="B145" s="23" t="str">
        <x:v>2025-03-31</x:v>
      </x:c>
      <x:c r="C145" s="23" t="str">
        <x:v>ACQUISITIONS</x:v>
      </x:c>
      <x:c r="D145" s="23" t="str">
        <x:v>Adquisiciones e inversiones financieras</x:v>
      </x:c>
      <x:c r="E145" s="24" t="n">
        <x:v>0</x:v>
      </x:c>
      <x:c r="F145" s="23" t="str">
        <x:v>Inversión</x:v>
      </x:c>
      <x:c r="G145" s="23" t="str">
        <x:v>Tesorería simulada</x:v>
      </x:c>
      <x:c r="H145" s="23" t="str">
        <x:v>Actual</x:v>
      </x:c>
    </x:row>
    <x:row r="146">
      <x:c r="A146" s="23" t="str">
        <x:v>2025-03</x:v>
      </x:c>
      <x:c r="B146" s="23" t="str">
        <x:v>2025-03-31</x:v>
      </x:c>
      <x:c r="C146" s="23" t="str">
        <x:v>DEBT_DRAWDOWNS</x:v>
      </x:c>
      <x:c r="D146" s="23" t="str">
        <x:v>Disposiciones de deuda</x:v>
      </x:c>
      <x:c r="E146" s="24" t="n">
        <x:v>0</x:v>
      </x:c>
      <x:c r="F146" s="23" t="str">
        <x:v>Financiación</x:v>
      </x:c>
      <x:c r="G146" s="23" t="str">
        <x:v>Tesorería simulada</x:v>
      </x:c>
      <x:c r="H146" s="23" t="str">
        <x:v>Actual</x:v>
      </x:c>
    </x:row>
    <x:row r="147">
      <x:c r="A147" s="23" t="str">
        <x:v>2025-03</x:v>
      </x:c>
      <x:c r="B147" s="23" t="str">
        <x:v>2025-03-31</x:v>
      </x:c>
      <x:c r="C147" s="23" t="str">
        <x:v>DEBT_REPAYMENTS</x:v>
      </x:c>
      <x:c r="D147" s="23" t="str">
        <x:v>Amortizaciones de deuda</x:v>
      </x:c>
      <x:c r="E147" s="24" t="n">
        <x:v>125000</x:v>
      </x:c>
      <x:c r="F147" s="23" t="str">
        <x:v>Financiación</x:v>
      </x:c>
      <x:c r="G147" s="23" t="str">
        <x:v>Tesorería simulada</x:v>
      </x:c>
      <x:c r="H147" s="23" t="str">
        <x:v>Actual</x:v>
      </x:c>
    </x:row>
    <x:row r="148">
      <x:c r="A148" s="23" t="str">
        <x:v>2025-03</x:v>
      </x:c>
      <x:c r="B148" s="23" t="str">
        <x:v>2025-03-31</x:v>
      </x:c>
      <x:c r="C148" s="23" t="str">
        <x:v>LEASE_PRINCIPAL</x:v>
      </x:c>
      <x:c r="D148" s="23" t="str">
        <x:v>Pagos de principal de arrendamientos</x:v>
      </x:c>
      <x:c r="E148" s="24" t="n">
        <x:v>25000</x:v>
      </x:c>
      <x:c r="F148" s="23" t="str">
        <x:v>Financiación</x:v>
      </x:c>
      <x:c r="G148" s="23" t="str">
        <x:v>Tesorería simulada</x:v>
      </x:c>
      <x:c r="H148" s="23" t="str">
        <x:v>Actual</x:v>
      </x:c>
    </x:row>
    <x:row r="149">
      <x:c r="A149" s="23" t="str">
        <x:v>2025-03</x:v>
      </x:c>
      <x:c r="B149" s="23" t="str">
        <x:v>2025-03-31</x:v>
      </x:c>
      <x:c r="C149" s="23" t="str">
        <x:v>DIVIDENDS</x:v>
      </x:c>
      <x:c r="D149" s="23" t="str">
        <x:v>Dividendos pagados</x:v>
      </x:c>
      <x:c r="E149" s="24" t="n">
        <x:v>0</x:v>
      </x:c>
      <x:c r="F149" s="23" t="str">
        <x:v>Financiación</x:v>
      </x:c>
      <x:c r="G149" s="23" t="str">
        <x:v>Tesorería simulada</x:v>
      </x:c>
      <x:c r="H149" s="23" t="str">
        <x:v>Actual</x:v>
      </x:c>
    </x:row>
    <x:row r="150">
      <x:c r="A150" s="23" t="str">
        <x:v>2025-03</x:v>
      </x:c>
      <x:c r="B150" s="23" t="str">
        <x:v>2025-03-31</x:v>
      </x:c>
      <x:c r="C150" s="23" t="str">
        <x:v>CAPITAL_CONTRIBUTIONS</x:v>
      </x:c>
      <x:c r="D150" s="23" t="str">
        <x:v>Aportaciones de capital</x:v>
      </x:c>
      <x:c r="E150" s="24" t="n">
        <x:v>0</x:v>
      </x:c>
      <x:c r="F150" s="23" t="str">
        <x:v>Financiación</x:v>
      </x:c>
      <x:c r="G150" s="23" t="str">
        <x:v>Tesorería simulada</x:v>
      </x:c>
      <x:c r="H150" s="23" t="str">
        <x:v>Actual</x:v>
      </x:c>
    </x:row>
    <x:row r="151">
      <x:c r="A151" s="23" t="str">
        <x:v>2025-03</x:v>
      </x:c>
      <x:c r="B151" s="23" t="str">
        <x:v>2025-03-31</x:v>
      </x:c>
      <x:c r="C151" s="23" t="str">
        <x:v>FX_OTHER</x:v>
      </x:c>
      <x:c r="D151" s="23" t="str">
        <x:v>Efecto de tipo de cambio y otros</x:v>
      </x:c>
      <x:c r="E151" s="24" t="n">
        <x:v>0</x:v>
      </x:c>
      <x:c r="F151" s="23" t="str">
        <x:v>Otros</x:v>
      </x:c>
      <x:c r="G151" s="23" t="str">
        <x:v>Tesorería simulada</x:v>
      </x:c>
      <x:c r="H151" s="23" t="str">
        <x:v>Actual</x:v>
      </x:c>
    </x:row>
    <x:row r="152">
      <x:c r="A152" s="23" t="str">
        <x:v>2025-04</x:v>
      </x:c>
      <x:c r="B152" s="23" t="str">
        <x:v>2025-04-30</x:v>
      </x:c>
      <x:c r="C152" s="23" t="str">
        <x:v>CAPEX</x:v>
      </x:c>
      <x:c r="D152" s="23" t="str">
        <x:v>Inversiones en inmovilizado material</x:v>
      </x:c>
      <x:c r="E152" s="24" t="n">
        <x:v>116027</x:v>
      </x:c>
      <x:c r="F152" s="23" t="str">
        <x:v>Inversión</x:v>
      </x:c>
      <x:c r="G152" s="23" t="str">
        <x:v>Tesorería simulada</x:v>
      </x:c>
      <x:c r="H152" s="23" t="str">
        <x:v>Actual</x:v>
      </x:c>
    </x:row>
    <x:row r="153">
      <x:c r="A153" s="23" t="str">
        <x:v>2025-04</x:v>
      </x:c>
      <x:c r="B153" s="23" t="str">
        <x:v>2025-04-30</x:v>
      </x:c>
      <x:c r="C153" s="23" t="str">
        <x:v>INTANGIBLE_ADDITIONS</x:v>
      </x:c>
      <x:c r="D153" s="23" t="str">
        <x:v>Altas de activos intangibles</x:v>
      </x:c>
      <x:c r="E153" s="24" t="n">
        <x:v>15000</x:v>
      </x:c>
      <x:c r="F153" s="23" t="str">
        <x:v>Inversión</x:v>
      </x:c>
      <x:c r="G153" s="23" t="str">
        <x:v>Tesorería simulada</x:v>
      </x:c>
      <x:c r="H153" s="23" t="str">
        <x:v>Actual</x:v>
      </x:c>
    </x:row>
    <x:row r="154">
      <x:c r="A154" s="23" t="str">
        <x:v>2025-04</x:v>
      </x:c>
      <x:c r="B154" s="23" t="str">
        <x:v>2025-04-30</x:v>
      </x:c>
      <x:c r="C154" s="23" t="str">
        <x:v>ASSET_SALE_PROCEEDS</x:v>
      </x:c>
      <x:c r="D154" s="23" t="str">
        <x:v>Cobros por venta de activos</x:v>
      </x:c>
      <x:c r="E154" s="24" t="n">
        <x:v>0</x:v>
      </x:c>
      <x:c r="F154" s="23" t="str">
        <x:v>Inversión</x:v>
      </x:c>
      <x:c r="G154" s="23" t="str">
        <x:v>Tesorería simulada</x:v>
      </x:c>
      <x:c r="H154" s="23" t="str">
        <x:v>Actual</x:v>
      </x:c>
    </x:row>
    <x:row r="155">
      <x:c r="A155" s="23" t="str">
        <x:v>2025-04</x:v>
      </x:c>
      <x:c r="B155" s="23" t="str">
        <x:v>2025-04-30</x:v>
      </x:c>
      <x:c r="C155" s="23" t="str">
        <x:v>ACQUISITIONS</x:v>
      </x:c>
      <x:c r="D155" s="23" t="str">
        <x:v>Adquisiciones e inversiones financieras</x:v>
      </x:c>
      <x:c r="E155" s="24" t="n">
        <x:v>0</x:v>
      </x:c>
      <x:c r="F155" s="23" t="str">
        <x:v>Inversión</x:v>
      </x:c>
      <x:c r="G155" s="23" t="str">
        <x:v>Tesorería simulada</x:v>
      </x:c>
      <x:c r="H155" s="23" t="str">
        <x:v>Actual</x:v>
      </x:c>
    </x:row>
    <x:row r="156">
      <x:c r="A156" s="23" t="str">
        <x:v>2025-04</x:v>
      </x:c>
      <x:c r="B156" s="23" t="str">
        <x:v>2025-04-30</x:v>
      </x:c>
      <x:c r="C156" s="23" t="str">
        <x:v>DEBT_DRAWDOWNS</x:v>
      </x:c>
      <x:c r="D156" s="23" t="str">
        <x:v>Disposiciones de deuda</x:v>
      </x:c>
      <x:c r="E156" s="24" t="n">
        <x:v>0</x:v>
      </x:c>
      <x:c r="F156" s="23" t="str">
        <x:v>Financiación</x:v>
      </x:c>
      <x:c r="G156" s="23" t="str">
        <x:v>Tesorería simulada</x:v>
      </x:c>
      <x:c r="H156" s="23" t="str">
        <x:v>Actual</x:v>
      </x:c>
    </x:row>
    <x:row r="157">
      <x:c r="A157" s="23" t="str">
        <x:v>2025-04</x:v>
      </x:c>
      <x:c r="B157" s="23" t="str">
        <x:v>2025-04-30</x:v>
      </x:c>
      <x:c r="C157" s="23" t="str">
        <x:v>DEBT_REPAYMENTS</x:v>
      </x:c>
      <x:c r="D157" s="23" t="str">
        <x:v>Amortizaciones de deuda</x:v>
      </x:c>
      <x:c r="E157" s="24" t="n">
        <x:v>0</x:v>
      </x:c>
      <x:c r="F157" s="23" t="str">
        <x:v>Financiación</x:v>
      </x:c>
      <x:c r="G157" s="23" t="str">
        <x:v>Tesorería simulada</x:v>
      </x:c>
      <x:c r="H157" s="23" t="str">
        <x:v>Actual</x:v>
      </x:c>
    </x:row>
    <x:row r="158">
      <x:c r="A158" s="23" t="str">
        <x:v>2025-04</x:v>
      </x:c>
      <x:c r="B158" s="23" t="str">
        <x:v>2025-04-30</x:v>
      </x:c>
      <x:c r="C158" s="23" t="str">
        <x:v>LEASE_PRINCIPAL</x:v>
      </x:c>
      <x:c r="D158" s="23" t="str">
        <x:v>Pagos de principal de arrendamientos</x:v>
      </x:c>
      <x:c r="E158" s="24" t="n">
        <x:v>25000</x:v>
      </x:c>
      <x:c r="F158" s="23" t="str">
        <x:v>Financiación</x:v>
      </x:c>
      <x:c r="G158" s="23" t="str">
        <x:v>Tesorería simulada</x:v>
      </x:c>
      <x:c r="H158" s="23" t="str">
        <x:v>Actual</x:v>
      </x:c>
    </x:row>
    <x:row r="159">
      <x:c r="A159" s="23" t="str">
        <x:v>2025-04</x:v>
      </x:c>
      <x:c r="B159" s="23" t="str">
        <x:v>2025-04-30</x:v>
      </x:c>
      <x:c r="C159" s="23" t="str">
        <x:v>DIVIDENDS</x:v>
      </x:c>
      <x:c r="D159" s="23" t="str">
        <x:v>Dividendos pagados</x:v>
      </x:c>
      <x:c r="E159" s="24" t="n">
        <x:v>0</x:v>
      </x:c>
      <x:c r="F159" s="23" t="str">
        <x:v>Financiación</x:v>
      </x:c>
      <x:c r="G159" s="23" t="str">
        <x:v>Tesorería simulada</x:v>
      </x:c>
      <x:c r="H159" s="23" t="str">
        <x:v>Actual</x:v>
      </x:c>
    </x:row>
    <x:row r="160">
      <x:c r="A160" s="23" t="str">
        <x:v>2025-04</x:v>
      </x:c>
      <x:c r="B160" s="23" t="str">
        <x:v>2025-04-30</x:v>
      </x:c>
      <x:c r="C160" s="23" t="str">
        <x:v>CAPITAL_CONTRIBUTIONS</x:v>
      </x:c>
      <x:c r="D160" s="23" t="str">
        <x:v>Aportaciones de capital</x:v>
      </x:c>
      <x:c r="E160" s="24" t="n">
        <x:v>0</x:v>
      </x:c>
      <x:c r="F160" s="23" t="str">
        <x:v>Financiación</x:v>
      </x:c>
      <x:c r="G160" s="23" t="str">
        <x:v>Tesorería simulada</x:v>
      </x:c>
      <x:c r="H160" s="23" t="str">
        <x:v>Actual</x:v>
      </x:c>
    </x:row>
    <x:row r="161">
      <x:c r="A161" s="23" t="str">
        <x:v>2025-04</x:v>
      </x:c>
      <x:c r="B161" s="23" t="str">
        <x:v>2025-04-30</x:v>
      </x:c>
      <x:c r="C161" s="23" t="str">
        <x:v>FX_OTHER</x:v>
      </x:c>
      <x:c r="D161" s="23" t="str">
        <x:v>Efecto de tipo de cambio y otros</x:v>
      </x:c>
      <x:c r="E161" s="24" t="n">
        <x:v>0</x:v>
      </x:c>
      <x:c r="F161" s="23" t="str">
        <x:v>Otros</x:v>
      </x:c>
      <x:c r="G161" s="23" t="str">
        <x:v>Tesorería simulada</x:v>
      </x:c>
      <x:c r="H161" s="23" t="str">
        <x:v>Actual</x:v>
      </x:c>
    </x:row>
    <x:row r="162">
      <x:c r="A162" s="23" t="str">
        <x:v>2025-05</x:v>
      </x:c>
      <x:c r="B162" s="23" t="str">
        <x:v>2025-05-31</x:v>
      </x:c>
      <x:c r="C162" s="23" t="str">
        <x:v>CAPEX</x:v>
      </x:c>
      <x:c r="D162" s="23" t="str">
        <x:v>Inversiones en inmovilizado material</x:v>
      </x:c>
      <x:c r="E162" s="24" t="n">
        <x:v>119667</x:v>
      </x:c>
      <x:c r="F162" s="23" t="str">
        <x:v>Inversión</x:v>
      </x:c>
      <x:c r="G162" s="23" t="str">
        <x:v>Tesorería simulada</x:v>
      </x:c>
      <x:c r="H162" s="23" t="str">
        <x:v>Actual</x:v>
      </x:c>
    </x:row>
    <x:row r="163">
      <x:c r="A163" s="23" t="str">
        <x:v>2025-05</x:v>
      </x:c>
      <x:c r="B163" s="23" t="str">
        <x:v>2025-05-31</x:v>
      </x:c>
      <x:c r="C163" s="23" t="str">
        <x:v>INTANGIBLE_ADDITIONS</x:v>
      </x:c>
      <x:c r="D163" s="23" t="str">
        <x:v>Altas de activos intangibles</x:v>
      </x:c>
      <x:c r="E163" s="24" t="n">
        <x:v>15000</x:v>
      </x:c>
      <x:c r="F163" s="23" t="str">
        <x:v>Inversión</x:v>
      </x:c>
      <x:c r="G163" s="23" t="str">
        <x:v>Tesorería simulada</x:v>
      </x:c>
      <x:c r="H163" s="23" t="str">
        <x:v>Actual</x:v>
      </x:c>
    </x:row>
    <x:row r="164">
      <x:c r="A164" s="23" t="str">
        <x:v>2025-05</x:v>
      </x:c>
      <x:c r="B164" s="23" t="str">
        <x:v>2025-05-31</x:v>
      </x:c>
      <x:c r="C164" s="23" t="str">
        <x:v>ASSET_SALE_PROCEEDS</x:v>
      </x:c>
      <x:c r="D164" s="23" t="str">
        <x:v>Cobros por venta de activos</x:v>
      </x:c>
      <x:c r="E164" s="24" t="n">
        <x:v>0</x:v>
      </x:c>
      <x:c r="F164" s="23" t="str">
        <x:v>Inversión</x:v>
      </x:c>
      <x:c r="G164" s="23" t="str">
        <x:v>Tesorería simulada</x:v>
      </x:c>
      <x:c r="H164" s="23" t="str">
        <x:v>Actual</x:v>
      </x:c>
    </x:row>
    <x:row r="165">
      <x:c r="A165" s="23" t="str">
        <x:v>2025-05</x:v>
      </x:c>
      <x:c r="B165" s="23" t="str">
        <x:v>2025-05-31</x:v>
      </x:c>
      <x:c r="C165" s="23" t="str">
        <x:v>ACQUISITIONS</x:v>
      </x:c>
      <x:c r="D165" s="23" t="str">
        <x:v>Adquisiciones e inversiones financieras</x:v>
      </x:c>
      <x:c r="E165" s="24" t="n">
        <x:v>0</x:v>
      </x:c>
      <x:c r="F165" s="23" t="str">
        <x:v>Inversión</x:v>
      </x:c>
      <x:c r="G165" s="23" t="str">
        <x:v>Tesorería simulada</x:v>
      </x:c>
      <x:c r="H165" s="23" t="str">
        <x:v>Actual</x:v>
      </x:c>
    </x:row>
    <x:row r="166">
      <x:c r="A166" s="23" t="str">
        <x:v>2025-05</x:v>
      </x:c>
      <x:c r="B166" s="23" t="str">
        <x:v>2025-05-31</x:v>
      </x:c>
      <x:c r="C166" s="23" t="str">
        <x:v>DEBT_DRAWDOWNS</x:v>
      </x:c>
      <x:c r="D166" s="23" t="str">
        <x:v>Disposiciones de deuda</x:v>
      </x:c>
      <x:c r="E166" s="24" t="n">
        <x:v>1100000</x:v>
      </x:c>
      <x:c r="F166" s="23" t="str">
        <x:v>Financiación</x:v>
      </x:c>
      <x:c r="G166" s="23" t="str">
        <x:v>Tesorería simulada</x:v>
      </x:c>
      <x:c r="H166" s="23" t="str">
        <x:v>Actual</x:v>
      </x:c>
    </x:row>
    <x:row r="167">
      <x:c r="A167" s="23" t="str">
        <x:v>2025-05</x:v>
      </x:c>
      <x:c r="B167" s="23" t="str">
        <x:v>2025-05-31</x:v>
      </x:c>
      <x:c r="C167" s="23" t="str">
        <x:v>DEBT_REPAYMENTS</x:v>
      </x:c>
      <x:c r="D167" s="23" t="str">
        <x:v>Amortizaciones de deuda</x:v>
      </x:c>
      <x:c r="E167" s="24" t="n">
        <x:v>0</x:v>
      </x:c>
      <x:c r="F167" s="23" t="str">
        <x:v>Financiación</x:v>
      </x:c>
      <x:c r="G167" s="23" t="str">
        <x:v>Tesorería simulada</x:v>
      </x:c>
      <x:c r="H167" s="23" t="str">
        <x:v>Actual</x:v>
      </x:c>
    </x:row>
    <x:row r="168">
      <x:c r="A168" s="23" t="str">
        <x:v>2025-05</x:v>
      </x:c>
      <x:c r="B168" s="23" t="str">
        <x:v>2025-05-31</x:v>
      </x:c>
      <x:c r="C168" s="23" t="str">
        <x:v>LEASE_PRINCIPAL</x:v>
      </x:c>
      <x:c r="D168" s="23" t="str">
        <x:v>Pagos de principal de arrendamientos</x:v>
      </x:c>
      <x:c r="E168" s="24" t="n">
        <x:v>25000</x:v>
      </x:c>
      <x:c r="F168" s="23" t="str">
        <x:v>Financiación</x:v>
      </x:c>
      <x:c r="G168" s="23" t="str">
        <x:v>Tesorería simulada</x:v>
      </x:c>
      <x:c r="H168" s="23" t="str">
        <x:v>Actual</x:v>
      </x:c>
    </x:row>
    <x:row r="169">
      <x:c r="A169" s="23" t="str">
        <x:v>2025-05</x:v>
      </x:c>
      <x:c r="B169" s="23" t="str">
        <x:v>2025-05-31</x:v>
      </x:c>
      <x:c r="C169" s="23" t="str">
        <x:v>DIVIDENDS</x:v>
      </x:c>
      <x:c r="D169" s="23" t="str">
        <x:v>Dividendos pagados</x:v>
      </x:c>
      <x:c r="E169" s="24" t="n">
        <x:v>0</x:v>
      </x:c>
      <x:c r="F169" s="23" t="str">
        <x:v>Financiación</x:v>
      </x:c>
      <x:c r="G169" s="23" t="str">
        <x:v>Tesorería simulada</x:v>
      </x:c>
      <x:c r="H169" s="23" t="str">
        <x:v>Actual</x:v>
      </x:c>
    </x:row>
    <x:row r="170">
      <x:c r="A170" s="23" t="str">
        <x:v>2025-05</x:v>
      </x:c>
      <x:c r="B170" s="23" t="str">
        <x:v>2025-05-31</x:v>
      </x:c>
      <x:c r="C170" s="23" t="str">
        <x:v>CAPITAL_CONTRIBUTIONS</x:v>
      </x:c>
      <x:c r="D170" s="23" t="str">
        <x:v>Aportaciones de capital</x:v>
      </x:c>
      <x:c r="E170" s="24" t="n">
        <x:v>0</x:v>
      </x:c>
      <x:c r="F170" s="23" t="str">
        <x:v>Financiación</x:v>
      </x:c>
      <x:c r="G170" s="23" t="str">
        <x:v>Tesorería simulada</x:v>
      </x:c>
      <x:c r="H170" s="23" t="str">
        <x:v>Actual</x:v>
      </x:c>
    </x:row>
    <x:row r="171">
      <x:c r="A171" s="23" t="str">
        <x:v>2025-05</x:v>
      </x:c>
      <x:c r="B171" s="23" t="str">
        <x:v>2025-05-31</x:v>
      </x:c>
      <x:c r="C171" s="23" t="str">
        <x:v>FX_OTHER</x:v>
      </x:c>
      <x:c r="D171" s="23" t="str">
        <x:v>Efecto de tipo de cambio y otros</x:v>
      </x:c>
      <x:c r="E171" s="24" t="n">
        <x:v>0</x:v>
      </x:c>
      <x:c r="F171" s="23" t="str">
        <x:v>Otros</x:v>
      </x:c>
      <x:c r="G171" s="23" t="str">
        <x:v>Tesorería simulada</x:v>
      </x:c>
      <x:c r="H171" s="23" t="str">
        <x:v>Actual</x:v>
      </x:c>
    </x:row>
    <x:row r="172">
      <x:c r="A172" s="23" t="str">
        <x:v>2025-06</x:v>
      </x:c>
      <x:c r="B172" s="23" t="str">
        <x:v>2025-06-30</x:v>
      </x:c>
      <x:c r="C172" s="23" t="str">
        <x:v>CAPEX</x:v>
      </x:c>
      <x:c r="D172" s="23" t="str">
        <x:v>Inversiones en inmovilizado material</x:v>
      </x:c>
      <x:c r="E172" s="24" t="n">
        <x:v>125545</x:v>
      </x:c>
      <x:c r="F172" s="23" t="str">
        <x:v>Inversión</x:v>
      </x:c>
      <x:c r="G172" s="23" t="str">
        <x:v>Tesorería simulada</x:v>
      </x:c>
      <x:c r="H172" s="23" t="str">
        <x:v>Actual</x:v>
      </x:c>
    </x:row>
    <x:row r="173">
      <x:c r="A173" s="23" t="str">
        <x:v>2025-06</x:v>
      </x:c>
      <x:c r="B173" s="23" t="str">
        <x:v>2025-06-30</x:v>
      </x:c>
      <x:c r="C173" s="23" t="str">
        <x:v>INTANGIBLE_ADDITIONS</x:v>
      </x:c>
      <x:c r="D173" s="23" t="str">
        <x:v>Altas de activos intangibles</x:v>
      </x:c>
      <x:c r="E173" s="24" t="n">
        <x:v>45000</x:v>
      </x:c>
      <x:c r="F173" s="23" t="str">
        <x:v>Inversión</x:v>
      </x:c>
      <x:c r="G173" s="23" t="str">
        <x:v>Tesorería simulada</x:v>
      </x:c>
      <x:c r="H173" s="23" t="str">
        <x:v>Actual</x:v>
      </x:c>
    </x:row>
    <x:row r="174">
      <x:c r="A174" s="23" t="str">
        <x:v>2025-06</x:v>
      </x:c>
      <x:c r="B174" s="23" t="str">
        <x:v>2025-06-30</x:v>
      </x:c>
      <x:c r="C174" s="23" t="str">
        <x:v>ASSET_SALE_PROCEEDS</x:v>
      </x:c>
      <x:c r="D174" s="23" t="str">
        <x:v>Cobros por venta de activos</x:v>
      </x:c>
      <x:c r="E174" s="24" t="n">
        <x:v>0</x:v>
      </x:c>
      <x:c r="F174" s="23" t="str">
        <x:v>Inversión</x:v>
      </x:c>
      <x:c r="G174" s="23" t="str">
        <x:v>Tesorería simulada</x:v>
      </x:c>
      <x:c r="H174" s="23" t="str">
        <x:v>Actual</x:v>
      </x:c>
    </x:row>
    <x:row r="175">
      <x:c r="A175" s="23" t="str">
        <x:v>2025-06</x:v>
      </x:c>
      <x:c r="B175" s="23" t="str">
        <x:v>2025-06-30</x:v>
      </x:c>
      <x:c r="C175" s="23" t="str">
        <x:v>ACQUISITIONS</x:v>
      </x:c>
      <x:c r="D175" s="23" t="str">
        <x:v>Adquisiciones e inversiones financieras</x:v>
      </x:c>
      <x:c r="E175" s="24" t="n">
        <x:v>0</x:v>
      </x:c>
      <x:c r="F175" s="23" t="str">
        <x:v>Inversión</x:v>
      </x:c>
      <x:c r="G175" s="23" t="str">
        <x:v>Tesorería simulada</x:v>
      </x:c>
      <x:c r="H175" s="23" t="str">
        <x:v>Actual</x:v>
      </x:c>
    </x:row>
    <x:row r="176">
      <x:c r="A176" s="23" t="str">
        <x:v>2025-06</x:v>
      </x:c>
      <x:c r="B176" s="23" t="str">
        <x:v>2025-06-30</x:v>
      </x:c>
      <x:c r="C176" s="23" t="str">
        <x:v>DEBT_DRAWDOWNS</x:v>
      </x:c>
      <x:c r="D176" s="23" t="str">
        <x:v>Disposiciones de deuda</x:v>
      </x:c>
      <x:c r="E176" s="24" t="n">
        <x:v>0</x:v>
      </x:c>
      <x:c r="F176" s="23" t="str">
        <x:v>Financiación</x:v>
      </x:c>
      <x:c r="G176" s="23" t="str">
        <x:v>Tesorería simulada</x:v>
      </x:c>
      <x:c r="H176" s="23" t="str">
        <x:v>Actual</x:v>
      </x:c>
    </x:row>
    <x:row r="177">
      <x:c r="A177" s="23" t="str">
        <x:v>2025-06</x:v>
      </x:c>
      <x:c r="B177" s="23" t="str">
        <x:v>2025-06-30</x:v>
      </x:c>
      <x:c r="C177" s="23" t="str">
        <x:v>DEBT_REPAYMENTS</x:v>
      </x:c>
      <x:c r="D177" s="23" t="str">
        <x:v>Amortizaciones de deuda</x:v>
      </x:c>
      <x:c r="E177" s="24" t="n">
        <x:v>125000</x:v>
      </x:c>
      <x:c r="F177" s="23" t="str">
        <x:v>Financiación</x:v>
      </x:c>
      <x:c r="G177" s="23" t="str">
        <x:v>Tesorería simulada</x:v>
      </x:c>
      <x:c r="H177" s="23" t="str">
        <x:v>Actual</x:v>
      </x:c>
    </x:row>
    <x:row r="178">
      <x:c r="A178" s="23" t="str">
        <x:v>2025-06</x:v>
      </x:c>
      <x:c r="B178" s="23" t="str">
        <x:v>2025-06-30</x:v>
      </x:c>
      <x:c r="C178" s="23" t="str">
        <x:v>LEASE_PRINCIPAL</x:v>
      </x:c>
      <x:c r="D178" s="23" t="str">
        <x:v>Pagos de principal de arrendamientos</x:v>
      </x:c>
      <x:c r="E178" s="24" t="n">
        <x:v>25000</x:v>
      </x:c>
      <x:c r="F178" s="23" t="str">
        <x:v>Financiación</x:v>
      </x:c>
      <x:c r="G178" s="23" t="str">
        <x:v>Tesorería simulada</x:v>
      </x:c>
      <x:c r="H178" s="23" t="str">
        <x:v>Actual</x:v>
      </x:c>
    </x:row>
    <x:row r="179">
      <x:c r="A179" s="23" t="str">
        <x:v>2025-06</x:v>
      </x:c>
      <x:c r="B179" s="23" t="str">
        <x:v>2025-06-30</x:v>
      </x:c>
      <x:c r="C179" s="23" t="str">
        <x:v>DIVIDENDS</x:v>
      </x:c>
      <x:c r="D179" s="23" t="str">
        <x:v>Dividendos pagados</x:v>
      </x:c>
      <x:c r="E179" s="24" t="n">
        <x:v>0</x:v>
      </x:c>
      <x:c r="F179" s="23" t="str">
        <x:v>Financiación</x:v>
      </x:c>
      <x:c r="G179" s="23" t="str">
        <x:v>Tesorería simulada</x:v>
      </x:c>
      <x:c r="H179" s="23" t="str">
        <x:v>Actual</x:v>
      </x:c>
    </x:row>
    <x:row r="180">
      <x:c r="A180" s="23" t="str">
        <x:v>2025-06</x:v>
      </x:c>
      <x:c r="B180" s="23" t="str">
        <x:v>2025-06-30</x:v>
      </x:c>
      <x:c r="C180" s="23" t="str">
        <x:v>CAPITAL_CONTRIBUTIONS</x:v>
      </x:c>
      <x:c r="D180" s="23" t="str">
        <x:v>Aportaciones de capital</x:v>
      </x:c>
      <x:c r="E180" s="24" t="n">
        <x:v>0</x:v>
      </x:c>
      <x:c r="F180" s="23" t="str">
        <x:v>Financiación</x:v>
      </x:c>
      <x:c r="G180" s="23" t="str">
        <x:v>Tesorería simulada</x:v>
      </x:c>
      <x:c r="H180" s="23" t="str">
        <x:v>Actual</x:v>
      </x:c>
    </x:row>
    <x:row r="181">
      <x:c r="A181" s="23" t="str">
        <x:v>2025-06</x:v>
      </x:c>
      <x:c r="B181" s="23" t="str">
        <x:v>2025-06-30</x:v>
      </x:c>
      <x:c r="C181" s="23" t="str">
        <x:v>FX_OTHER</x:v>
      </x:c>
      <x:c r="D181" s="23" t="str">
        <x:v>Efecto de tipo de cambio y otros</x:v>
      </x:c>
      <x:c r="E181" s="24" t="n">
        <x:v>0</x:v>
      </x:c>
      <x:c r="F181" s="23" t="str">
        <x:v>Otros</x:v>
      </x:c>
      <x:c r="G181" s="23" t="str">
        <x:v>Tesorería simulada</x:v>
      </x:c>
      <x:c r="H181" s="23" t="str">
        <x:v>Actual</x:v>
      </x:c>
    </x:row>
    <x:row r="182">
      <x:c r="A182" s="23" t="str">
        <x:v>2025-07</x:v>
      </x:c>
      <x:c r="B182" s="23" t="str">
        <x:v>2025-07-31</x:v>
      </x:c>
      <x:c r="C182" s="23" t="str">
        <x:v>CAPEX</x:v>
      </x:c>
      <x:c r="D182" s="23" t="str">
        <x:v>Inversiones en inmovilizado material</x:v>
      </x:c>
      <x:c r="E182" s="24" t="n">
        <x:v>133015</x:v>
      </x:c>
      <x:c r="F182" s="23" t="str">
        <x:v>Inversión</x:v>
      </x:c>
      <x:c r="G182" s="23" t="str">
        <x:v>Tesorería simulada</x:v>
      </x:c>
      <x:c r="H182" s="23" t="str">
        <x:v>Actual</x:v>
      </x:c>
    </x:row>
    <x:row r="183">
      <x:c r="A183" s="23" t="str">
        <x:v>2025-07</x:v>
      </x:c>
      <x:c r="B183" s="23" t="str">
        <x:v>2025-07-31</x:v>
      </x:c>
      <x:c r="C183" s="23" t="str">
        <x:v>INTANGIBLE_ADDITIONS</x:v>
      </x:c>
      <x:c r="D183" s="23" t="str">
        <x:v>Altas de activos intangibles</x:v>
      </x:c>
      <x:c r="E183" s="24" t="n">
        <x:v>15000</x:v>
      </x:c>
      <x:c r="F183" s="23" t="str">
        <x:v>Inversión</x:v>
      </x:c>
      <x:c r="G183" s="23" t="str">
        <x:v>Tesorería simulada</x:v>
      </x:c>
      <x:c r="H183" s="23" t="str">
        <x:v>Actual</x:v>
      </x:c>
    </x:row>
    <x:row r="184">
      <x:c r="A184" s="23" t="str">
        <x:v>2025-07</x:v>
      </x:c>
      <x:c r="B184" s="23" t="str">
        <x:v>2025-07-31</x:v>
      </x:c>
      <x:c r="C184" s="23" t="str">
        <x:v>ASSET_SALE_PROCEEDS</x:v>
      </x:c>
      <x:c r="D184" s="23" t="str">
        <x:v>Cobros por venta de activos</x:v>
      </x:c>
      <x:c r="E184" s="24" t="n">
        <x:v>0</x:v>
      </x:c>
      <x:c r="F184" s="23" t="str">
        <x:v>Inversión</x:v>
      </x:c>
      <x:c r="G184" s="23" t="str">
        <x:v>Tesorería simulada</x:v>
      </x:c>
      <x:c r="H184" s="23" t="str">
        <x:v>Actual</x:v>
      </x:c>
    </x:row>
    <x:row r="185">
      <x:c r="A185" s="23" t="str">
        <x:v>2025-07</x:v>
      </x:c>
      <x:c r="B185" s="23" t="str">
        <x:v>2025-07-31</x:v>
      </x:c>
      <x:c r="C185" s="23" t="str">
        <x:v>ACQUISITIONS</x:v>
      </x:c>
      <x:c r="D185" s="23" t="str">
        <x:v>Adquisiciones e inversiones financieras</x:v>
      </x:c>
      <x:c r="E185" s="24" t="n">
        <x:v>0</x:v>
      </x:c>
      <x:c r="F185" s="23" t="str">
        <x:v>Inversión</x:v>
      </x:c>
      <x:c r="G185" s="23" t="str">
        <x:v>Tesorería simulada</x:v>
      </x:c>
      <x:c r="H185" s="23" t="str">
        <x:v>Actual</x:v>
      </x:c>
    </x:row>
    <x:row r="186">
      <x:c r="A186" s="23" t="str">
        <x:v>2025-07</x:v>
      </x:c>
      <x:c r="B186" s="23" t="str">
        <x:v>2025-07-31</x:v>
      </x:c>
      <x:c r="C186" s="23" t="str">
        <x:v>DEBT_DRAWDOWNS</x:v>
      </x:c>
      <x:c r="D186" s="23" t="str">
        <x:v>Disposiciones de deuda</x:v>
      </x:c>
      <x:c r="E186" s="24" t="n">
        <x:v>0</x:v>
      </x:c>
      <x:c r="F186" s="23" t="str">
        <x:v>Financiación</x:v>
      </x:c>
      <x:c r="G186" s="23" t="str">
        <x:v>Tesorería simulada</x:v>
      </x:c>
      <x:c r="H186" s="23" t="str">
        <x:v>Actual</x:v>
      </x:c>
    </x:row>
    <x:row r="187">
      <x:c r="A187" s="23" t="str">
        <x:v>2025-07</x:v>
      </x:c>
      <x:c r="B187" s="23" t="str">
        <x:v>2025-07-31</x:v>
      </x:c>
      <x:c r="C187" s="23" t="str">
        <x:v>DEBT_REPAYMENTS</x:v>
      </x:c>
      <x:c r="D187" s="23" t="str">
        <x:v>Amortizaciones de deuda</x:v>
      </x:c>
      <x:c r="E187" s="24" t="n">
        <x:v>0</x:v>
      </x:c>
      <x:c r="F187" s="23" t="str">
        <x:v>Financiación</x:v>
      </x:c>
      <x:c r="G187" s="23" t="str">
        <x:v>Tesorería simulada</x:v>
      </x:c>
      <x:c r="H187" s="23" t="str">
        <x:v>Actual</x:v>
      </x:c>
    </x:row>
    <x:row r="188">
      <x:c r="A188" s="23" t="str">
        <x:v>2025-07</x:v>
      </x:c>
      <x:c r="B188" s="23" t="str">
        <x:v>2025-07-31</x:v>
      </x:c>
      <x:c r="C188" s="23" t="str">
        <x:v>LEASE_PRINCIPAL</x:v>
      </x:c>
      <x:c r="D188" s="23" t="str">
        <x:v>Pagos de principal de arrendamientos</x:v>
      </x:c>
      <x:c r="E188" s="24" t="n">
        <x:v>25000</x:v>
      </x:c>
      <x:c r="F188" s="23" t="str">
        <x:v>Financiación</x:v>
      </x:c>
      <x:c r="G188" s="23" t="str">
        <x:v>Tesorería simulada</x:v>
      </x:c>
      <x:c r="H188" s="23" t="str">
        <x:v>Actual</x:v>
      </x:c>
    </x:row>
    <x:row r="189">
      <x:c r="A189" s="23" t="str">
        <x:v>2025-07</x:v>
      </x:c>
      <x:c r="B189" s="23" t="str">
        <x:v>2025-07-31</x:v>
      </x:c>
      <x:c r="C189" s="23" t="str">
        <x:v>DIVIDENDS</x:v>
      </x:c>
      <x:c r="D189" s="23" t="str">
        <x:v>Dividendos pagados</x:v>
      </x:c>
      <x:c r="E189" s="24" t="n">
        <x:v>0</x:v>
      </x:c>
      <x:c r="F189" s="23" t="str">
        <x:v>Financiación</x:v>
      </x:c>
      <x:c r="G189" s="23" t="str">
        <x:v>Tesorería simulada</x:v>
      </x:c>
      <x:c r="H189" s="23" t="str">
        <x:v>Actual</x:v>
      </x:c>
    </x:row>
    <x:row r="190">
      <x:c r="A190" s="23" t="str">
        <x:v>2025-07</x:v>
      </x:c>
      <x:c r="B190" s="23" t="str">
        <x:v>2025-07-31</x:v>
      </x:c>
      <x:c r="C190" s="23" t="str">
        <x:v>CAPITAL_CONTRIBUTIONS</x:v>
      </x:c>
      <x:c r="D190" s="23" t="str">
        <x:v>Aportaciones de capital</x:v>
      </x:c>
      <x:c r="E190" s="24" t="n">
        <x:v>0</x:v>
      </x:c>
      <x:c r="F190" s="23" t="str">
        <x:v>Financiación</x:v>
      </x:c>
      <x:c r="G190" s="23" t="str">
        <x:v>Tesorería simulada</x:v>
      </x:c>
      <x:c r="H190" s="23" t="str">
        <x:v>Actual</x:v>
      </x:c>
    </x:row>
    <x:row r="191">
      <x:c r="A191" s="23" t="str">
        <x:v>2025-07</x:v>
      </x:c>
      <x:c r="B191" s="23" t="str">
        <x:v>2025-07-31</x:v>
      </x:c>
      <x:c r="C191" s="23" t="str">
        <x:v>FX_OTHER</x:v>
      </x:c>
      <x:c r="D191" s="23" t="str">
        <x:v>Efecto de tipo de cambio y otros</x:v>
      </x:c>
      <x:c r="E191" s="24" t="n">
        <x:v>0</x:v>
      </x:c>
      <x:c r="F191" s="23" t="str">
        <x:v>Otros</x:v>
      </x:c>
      <x:c r="G191" s="23" t="str">
        <x:v>Tesorería simulada</x:v>
      </x:c>
      <x:c r="H191" s="23" t="str">
        <x:v>Actual</x:v>
      </x:c>
    </x:row>
    <x:row r="192">
      <x:c r="A192" s="23" t="str">
        <x:v>2025-08</x:v>
      </x:c>
      <x:c r="B192" s="23" t="str">
        <x:v>2025-08-31</x:v>
      </x:c>
      <x:c r="C192" s="23" t="str">
        <x:v>CAPEX</x:v>
      </x:c>
      <x:c r="D192" s="23" t="str">
        <x:v>Inversiones en inmovilizado material</x:v>
      </x:c>
      <x:c r="E192" s="24" t="n">
        <x:v>141253</x:v>
      </x:c>
      <x:c r="F192" s="23" t="str">
        <x:v>Inversión</x:v>
      </x:c>
      <x:c r="G192" s="23" t="str">
        <x:v>Tesorería simulada</x:v>
      </x:c>
      <x:c r="H192" s="23" t="str">
        <x:v>Actual</x:v>
      </x:c>
    </x:row>
    <x:row r="193">
      <x:c r="A193" s="23" t="str">
        <x:v>2025-08</x:v>
      </x:c>
      <x:c r="B193" s="23" t="str">
        <x:v>2025-08-31</x:v>
      </x:c>
      <x:c r="C193" s="23" t="str">
        <x:v>INTANGIBLE_ADDITIONS</x:v>
      </x:c>
      <x:c r="D193" s="23" t="str">
        <x:v>Altas de activos intangibles</x:v>
      </x:c>
      <x:c r="E193" s="24" t="n">
        <x:v>15000</x:v>
      </x:c>
      <x:c r="F193" s="23" t="str">
        <x:v>Inversión</x:v>
      </x:c>
      <x:c r="G193" s="23" t="str">
        <x:v>Tesorería simulada</x:v>
      </x:c>
      <x:c r="H193" s="23" t="str">
        <x:v>Actual</x:v>
      </x:c>
    </x:row>
    <x:row r="194">
      <x:c r="A194" s="23" t="str">
        <x:v>2025-08</x:v>
      </x:c>
      <x:c r="B194" s="23" t="str">
        <x:v>2025-08-31</x:v>
      </x:c>
      <x:c r="C194" s="23" t="str">
        <x:v>ASSET_SALE_PROCEEDS</x:v>
      </x:c>
      <x:c r="D194" s="23" t="str">
        <x:v>Cobros por venta de activos</x:v>
      </x:c>
      <x:c r="E194" s="24" t="n">
        <x:v>0</x:v>
      </x:c>
      <x:c r="F194" s="23" t="str">
        <x:v>Inversión</x:v>
      </x:c>
      <x:c r="G194" s="23" t="str">
        <x:v>Tesorería simulada</x:v>
      </x:c>
      <x:c r="H194" s="23" t="str">
        <x:v>Actual</x:v>
      </x:c>
    </x:row>
    <x:row r="195">
      <x:c r="A195" s="23" t="str">
        <x:v>2025-08</x:v>
      </x:c>
      <x:c r="B195" s="23" t="str">
        <x:v>2025-08-31</x:v>
      </x:c>
      <x:c r="C195" s="23" t="str">
        <x:v>ACQUISITIONS</x:v>
      </x:c>
      <x:c r="D195" s="23" t="str">
        <x:v>Adquisiciones e inversiones financieras</x:v>
      </x:c>
      <x:c r="E195" s="24" t="n">
        <x:v>0</x:v>
      </x:c>
      <x:c r="F195" s="23" t="str">
        <x:v>Inversión</x:v>
      </x:c>
      <x:c r="G195" s="23" t="str">
        <x:v>Tesorería simulada</x:v>
      </x:c>
      <x:c r="H195" s="23" t="str">
        <x:v>Actual</x:v>
      </x:c>
    </x:row>
    <x:row r="196">
      <x:c r="A196" s="23" t="str">
        <x:v>2025-08</x:v>
      </x:c>
      <x:c r="B196" s="23" t="str">
        <x:v>2025-08-31</x:v>
      </x:c>
      <x:c r="C196" s="23" t="str">
        <x:v>DEBT_DRAWDOWNS</x:v>
      </x:c>
      <x:c r="D196" s="23" t="str">
        <x:v>Disposiciones de deuda</x:v>
      </x:c>
      <x:c r="E196" s="24" t="n">
        <x:v>0</x:v>
      </x:c>
      <x:c r="F196" s="23" t="str">
        <x:v>Financiación</x:v>
      </x:c>
      <x:c r="G196" s="23" t="str">
        <x:v>Tesorería simulada</x:v>
      </x:c>
      <x:c r="H196" s="23" t="str">
        <x:v>Actual</x:v>
      </x:c>
    </x:row>
    <x:row r="197">
      <x:c r="A197" s="23" t="str">
        <x:v>2025-08</x:v>
      </x:c>
      <x:c r="B197" s="23" t="str">
        <x:v>2025-08-31</x:v>
      </x:c>
      <x:c r="C197" s="23" t="str">
        <x:v>DEBT_REPAYMENTS</x:v>
      </x:c>
      <x:c r="D197" s="23" t="str">
        <x:v>Amortizaciones de deuda</x:v>
      </x:c>
      <x:c r="E197" s="24" t="n">
        <x:v>0</x:v>
      </x:c>
      <x:c r="F197" s="23" t="str">
        <x:v>Financiación</x:v>
      </x:c>
      <x:c r="G197" s="23" t="str">
        <x:v>Tesorería simulada</x:v>
      </x:c>
      <x:c r="H197" s="23" t="str">
        <x:v>Actual</x:v>
      </x:c>
    </x:row>
    <x:row r="198">
      <x:c r="A198" s="23" t="str">
        <x:v>2025-08</x:v>
      </x:c>
      <x:c r="B198" s="23" t="str">
        <x:v>2025-08-31</x:v>
      </x:c>
      <x:c r="C198" s="23" t="str">
        <x:v>LEASE_PRINCIPAL</x:v>
      </x:c>
      <x:c r="D198" s="23" t="str">
        <x:v>Pagos de principal de arrendamientos</x:v>
      </x:c>
      <x:c r="E198" s="24" t="n">
        <x:v>25000</x:v>
      </x:c>
      <x:c r="F198" s="23" t="str">
        <x:v>Financiación</x:v>
      </x:c>
      <x:c r="G198" s="23" t="str">
        <x:v>Tesorería simulada</x:v>
      </x:c>
      <x:c r="H198" s="23" t="str">
        <x:v>Actual</x:v>
      </x:c>
    </x:row>
    <x:row r="199">
      <x:c r="A199" s="23" t="str">
        <x:v>2025-08</x:v>
      </x:c>
      <x:c r="B199" s="23" t="str">
        <x:v>2025-08-31</x:v>
      </x:c>
      <x:c r="C199" s="23" t="str">
        <x:v>DIVIDENDS</x:v>
      </x:c>
      <x:c r="D199" s="23" t="str">
        <x:v>Dividendos pagados</x:v>
      </x:c>
      <x:c r="E199" s="24" t="n">
        <x:v>0</x:v>
      </x:c>
      <x:c r="F199" s="23" t="str">
        <x:v>Financiación</x:v>
      </x:c>
      <x:c r="G199" s="23" t="str">
        <x:v>Tesorería simulada</x:v>
      </x:c>
      <x:c r="H199" s="23" t="str">
        <x:v>Actual</x:v>
      </x:c>
    </x:row>
    <x:row r="200">
      <x:c r="A200" s="23" t="str">
        <x:v>2025-08</x:v>
      </x:c>
      <x:c r="B200" s="23" t="str">
        <x:v>2025-08-31</x:v>
      </x:c>
      <x:c r="C200" s="23" t="str">
        <x:v>CAPITAL_CONTRIBUTIONS</x:v>
      </x:c>
      <x:c r="D200" s="23" t="str">
        <x:v>Aportaciones de capital</x:v>
      </x:c>
      <x:c r="E200" s="24" t="n">
        <x:v>0</x:v>
      </x:c>
      <x:c r="F200" s="23" t="str">
        <x:v>Financiación</x:v>
      </x:c>
      <x:c r="G200" s="23" t="str">
        <x:v>Tesorería simulada</x:v>
      </x:c>
      <x:c r="H200" s="23" t="str">
        <x:v>Actual</x:v>
      </x:c>
    </x:row>
    <x:row r="201">
      <x:c r="A201" s="23" t="str">
        <x:v>2025-08</x:v>
      </x:c>
      <x:c r="B201" s="23" t="str">
        <x:v>2025-08-31</x:v>
      </x:c>
      <x:c r="C201" s="23" t="str">
        <x:v>FX_OTHER</x:v>
      </x:c>
      <x:c r="D201" s="23" t="str">
        <x:v>Efecto de tipo de cambio y otros</x:v>
      </x:c>
      <x:c r="E201" s="24" t="n">
        <x:v>0</x:v>
      </x:c>
      <x:c r="F201" s="23" t="str">
        <x:v>Otros</x:v>
      </x:c>
      <x:c r="G201" s="23" t="str">
        <x:v>Tesorería simulada</x:v>
      </x:c>
      <x:c r="H201" s="23" t="str">
        <x:v>Actual</x:v>
      </x:c>
    </x:row>
    <x:row r="202">
      <x:c r="A202" s="23" t="str">
        <x:v>2025-09</x:v>
      </x:c>
      <x:c r="B202" s="23" t="str">
        <x:v>2025-09-30</x:v>
      </x:c>
      <x:c r="C202" s="23" t="str">
        <x:v>CAPEX</x:v>
      </x:c>
      <x:c r="D202" s="23" t="str">
        <x:v>Inversiones en inmovilizado material</x:v>
      </x:c>
      <x:c r="E202" s="24" t="n">
        <x:v>149354</x:v>
      </x:c>
      <x:c r="F202" s="23" t="str">
        <x:v>Inversión</x:v>
      </x:c>
      <x:c r="G202" s="23" t="str">
        <x:v>Tesorería simulada</x:v>
      </x:c>
      <x:c r="H202" s="23" t="str">
        <x:v>Actual</x:v>
      </x:c>
    </x:row>
    <x:row r="203">
      <x:c r="A203" s="23" t="str">
        <x:v>2025-09</x:v>
      </x:c>
      <x:c r="B203" s="23" t="str">
        <x:v>2025-09-30</x:v>
      </x:c>
      <x:c r="C203" s="23" t="str">
        <x:v>INTANGIBLE_ADDITIONS</x:v>
      </x:c>
      <x:c r="D203" s="23" t="str">
        <x:v>Altas de activos intangibles</x:v>
      </x:c>
      <x:c r="E203" s="24" t="n">
        <x:v>45000</x:v>
      </x:c>
      <x:c r="F203" s="23" t="str">
        <x:v>Inversión</x:v>
      </x:c>
      <x:c r="G203" s="23" t="str">
        <x:v>Tesorería simulada</x:v>
      </x:c>
      <x:c r="H203" s="23" t="str">
        <x:v>Actual</x:v>
      </x:c>
    </x:row>
    <x:row r="204">
      <x:c r="A204" s="23" t="str">
        <x:v>2025-09</x:v>
      </x:c>
      <x:c r="B204" s="23" t="str">
        <x:v>2025-09-30</x:v>
      </x:c>
      <x:c r="C204" s="23" t="str">
        <x:v>ASSET_SALE_PROCEEDS</x:v>
      </x:c>
      <x:c r="D204" s="23" t="str">
        <x:v>Cobros por venta de activos</x:v>
      </x:c>
      <x:c r="E204" s="24" t="n">
        <x:v>150000</x:v>
      </x:c>
      <x:c r="F204" s="23" t="str">
        <x:v>Inversión</x:v>
      </x:c>
      <x:c r="G204" s="23" t="str">
        <x:v>Tesorería simulada</x:v>
      </x:c>
      <x:c r="H204" s="23" t="str">
        <x:v>Actual</x:v>
      </x:c>
    </x:row>
    <x:row r="205">
      <x:c r="A205" s="23" t="str">
        <x:v>2025-09</x:v>
      </x:c>
      <x:c r="B205" s="23" t="str">
        <x:v>2025-09-30</x:v>
      </x:c>
      <x:c r="C205" s="23" t="str">
        <x:v>ACQUISITIONS</x:v>
      </x:c>
      <x:c r="D205" s="23" t="str">
        <x:v>Adquisiciones e inversiones financieras</x:v>
      </x:c>
      <x:c r="E205" s="24" t="n">
        <x:v>0</x:v>
      </x:c>
      <x:c r="F205" s="23" t="str">
        <x:v>Inversión</x:v>
      </x:c>
      <x:c r="G205" s="23" t="str">
        <x:v>Tesorería simulada</x:v>
      </x:c>
      <x:c r="H205" s="23" t="str">
        <x:v>Actual</x:v>
      </x:c>
    </x:row>
    <x:row r="206">
      <x:c r="A206" s="23" t="str">
        <x:v>2025-09</x:v>
      </x:c>
      <x:c r="B206" s="23" t="str">
        <x:v>2025-09-30</x:v>
      </x:c>
      <x:c r="C206" s="23" t="str">
        <x:v>DEBT_DRAWDOWNS</x:v>
      </x:c>
      <x:c r="D206" s="23" t="str">
        <x:v>Disposiciones de deuda</x:v>
      </x:c>
      <x:c r="E206" s="24" t="n">
        <x:v>0</x:v>
      </x:c>
      <x:c r="F206" s="23" t="str">
        <x:v>Financiación</x:v>
      </x:c>
      <x:c r="G206" s="23" t="str">
        <x:v>Tesorería simulada</x:v>
      </x:c>
      <x:c r="H206" s="23" t="str">
        <x:v>Actual</x:v>
      </x:c>
    </x:row>
    <x:row r="207">
      <x:c r="A207" s="23" t="str">
        <x:v>2025-09</x:v>
      </x:c>
      <x:c r="B207" s="23" t="str">
        <x:v>2025-09-30</x:v>
      </x:c>
      <x:c r="C207" s="23" t="str">
        <x:v>DEBT_REPAYMENTS</x:v>
      </x:c>
      <x:c r="D207" s="23" t="str">
        <x:v>Amortizaciones de deuda</x:v>
      </x:c>
      <x:c r="E207" s="24" t="n">
        <x:v>125000</x:v>
      </x:c>
      <x:c r="F207" s="23" t="str">
        <x:v>Financiación</x:v>
      </x:c>
      <x:c r="G207" s="23" t="str">
        <x:v>Tesorería simulada</x:v>
      </x:c>
      <x:c r="H207" s="23" t="str">
        <x:v>Actual</x:v>
      </x:c>
    </x:row>
    <x:row r="208">
      <x:c r="A208" s="23" t="str">
        <x:v>2025-09</x:v>
      </x:c>
      <x:c r="B208" s="23" t="str">
        <x:v>2025-09-30</x:v>
      </x:c>
      <x:c r="C208" s="23" t="str">
        <x:v>LEASE_PRINCIPAL</x:v>
      </x:c>
      <x:c r="D208" s="23" t="str">
        <x:v>Pagos de principal de arrendamientos</x:v>
      </x:c>
      <x:c r="E208" s="24" t="n">
        <x:v>25000</x:v>
      </x:c>
      <x:c r="F208" s="23" t="str">
        <x:v>Financiación</x:v>
      </x:c>
      <x:c r="G208" s="23" t="str">
        <x:v>Tesorería simulada</x:v>
      </x:c>
      <x:c r="H208" s="23" t="str">
        <x:v>Actual</x:v>
      </x:c>
    </x:row>
    <x:row r="209">
      <x:c r="A209" s="23" t="str">
        <x:v>2025-09</x:v>
      </x:c>
      <x:c r="B209" s="23" t="str">
        <x:v>2025-09-30</x:v>
      </x:c>
      <x:c r="C209" s="23" t="str">
        <x:v>DIVIDENDS</x:v>
      </x:c>
      <x:c r="D209" s="23" t="str">
        <x:v>Dividendos pagados</x:v>
      </x:c>
      <x:c r="E209" s="24" t="n">
        <x:v>0</x:v>
      </x:c>
      <x:c r="F209" s="23" t="str">
        <x:v>Financiación</x:v>
      </x:c>
      <x:c r="G209" s="23" t="str">
        <x:v>Tesorería simulada</x:v>
      </x:c>
      <x:c r="H209" s="23" t="str">
        <x:v>Actual</x:v>
      </x:c>
    </x:row>
    <x:row r="210">
      <x:c r="A210" s="23" t="str">
        <x:v>2025-09</x:v>
      </x:c>
      <x:c r="B210" s="23" t="str">
        <x:v>2025-09-30</x:v>
      </x:c>
      <x:c r="C210" s="23" t="str">
        <x:v>CAPITAL_CONTRIBUTIONS</x:v>
      </x:c>
      <x:c r="D210" s="23" t="str">
        <x:v>Aportaciones de capital</x:v>
      </x:c>
      <x:c r="E210" s="24" t="n">
        <x:v>0</x:v>
      </x:c>
      <x:c r="F210" s="23" t="str">
        <x:v>Financiación</x:v>
      </x:c>
      <x:c r="G210" s="23" t="str">
        <x:v>Tesorería simulada</x:v>
      </x:c>
      <x:c r="H210" s="23" t="str">
        <x:v>Actual</x:v>
      </x:c>
    </x:row>
    <x:row r="211">
      <x:c r="A211" s="23" t="str">
        <x:v>2025-09</x:v>
      </x:c>
      <x:c r="B211" s="23" t="str">
        <x:v>2025-09-30</x:v>
      </x:c>
      <x:c r="C211" s="23" t="str">
        <x:v>FX_OTHER</x:v>
      </x:c>
      <x:c r="D211" s="23" t="str">
        <x:v>Efecto de tipo de cambio y otros</x:v>
      </x:c>
      <x:c r="E211" s="24" t="n">
        <x:v>0</x:v>
      </x:c>
      <x:c r="F211" s="23" t="str">
        <x:v>Otros</x:v>
      </x:c>
      <x:c r="G211" s="23" t="str">
        <x:v>Tesorería simulada</x:v>
      </x:c>
      <x:c r="H211" s="23" t="str">
        <x:v>Actual</x:v>
      </x:c>
    </x:row>
    <x:row r="212">
      <x:c r="A212" s="23" t="str">
        <x:v>2025-10</x:v>
      </x:c>
      <x:c r="B212" s="23" t="str">
        <x:v>2025-10-31</x:v>
      </x:c>
      <x:c r="C212" s="23" t="str">
        <x:v>CAPEX</x:v>
      </x:c>
      <x:c r="D212" s="23" t="str">
        <x:v>Inversiones en inmovilizado material</x:v>
      </x:c>
      <x:c r="E212" s="24" t="n">
        <x:v>156425</x:v>
      </x:c>
      <x:c r="F212" s="23" t="str">
        <x:v>Inversión</x:v>
      </x:c>
      <x:c r="G212" s="23" t="str">
        <x:v>Tesorería simulada</x:v>
      </x:c>
      <x:c r="H212" s="23" t="str">
        <x:v>Actual</x:v>
      </x:c>
    </x:row>
    <x:row r="213">
      <x:c r="A213" s="23" t="str">
        <x:v>2025-10</x:v>
      </x:c>
      <x:c r="B213" s="23" t="str">
        <x:v>2025-10-31</x:v>
      </x:c>
      <x:c r="C213" s="23" t="str">
        <x:v>INTANGIBLE_ADDITIONS</x:v>
      </x:c>
      <x:c r="D213" s="23" t="str">
        <x:v>Altas de activos intangibles</x:v>
      </x:c>
      <x:c r="E213" s="24" t="n">
        <x:v>15000</x:v>
      </x:c>
      <x:c r="F213" s="23" t="str">
        <x:v>Inversión</x:v>
      </x:c>
      <x:c r="G213" s="23" t="str">
        <x:v>Tesorería simulada</x:v>
      </x:c>
      <x:c r="H213" s="23" t="str">
        <x:v>Actual</x:v>
      </x:c>
    </x:row>
    <x:row r="214">
      <x:c r="A214" s="23" t="str">
        <x:v>2025-10</x:v>
      </x:c>
      <x:c r="B214" s="23" t="str">
        <x:v>2025-10-31</x:v>
      </x:c>
      <x:c r="C214" s="23" t="str">
        <x:v>ASSET_SALE_PROCEEDS</x:v>
      </x:c>
      <x:c r="D214" s="23" t="str">
        <x:v>Cobros por venta de activos</x:v>
      </x:c>
      <x:c r="E214" s="24" t="n">
        <x:v>0</x:v>
      </x:c>
      <x:c r="F214" s="23" t="str">
        <x:v>Inversión</x:v>
      </x:c>
      <x:c r="G214" s="23" t="str">
        <x:v>Tesorería simulada</x:v>
      </x:c>
      <x:c r="H214" s="23" t="str">
        <x:v>Actual</x:v>
      </x:c>
    </x:row>
    <x:row r="215">
      <x:c r="A215" s="23" t="str">
        <x:v>2025-10</x:v>
      </x:c>
      <x:c r="B215" s="23" t="str">
        <x:v>2025-10-31</x:v>
      </x:c>
      <x:c r="C215" s="23" t="str">
        <x:v>ACQUISITIONS</x:v>
      </x:c>
      <x:c r="D215" s="23" t="str">
        <x:v>Adquisiciones e inversiones financieras</x:v>
      </x:c>
      <x:c r="E215" s="24" t="n">
        <x:v>0</x:v>
      </x:c>
      <x:c r="F215" s="23" t="str">
        <x:v>Inversión</x:v>
      </x:c>
      <x:c r="G215" s="23" t="str">
        <x:v>Tesorería simulada</x:v>
      </x:c>
      <x:c r="H215" s="23" t="str">
        <x:v>Actual</x:v>
      </x:c>
    </x:row>
    <x:row r="216">
      <x:c r="A216" s="23" t="str">
        <x:v>2025-10</x:v>
      </x:c>
      <x:c r="B216" s="23" t="str">
        <x:v>2025-10-31</x:v>
      </x:c>
      <x:c r="C216" s="23" t="str">
        <x:v>DEBT_DRAWDOWNS</x:v>
      </x:c>
      <x:c r="D216" s="23" t="str">
        <x:v>Disposiciones de deuda</x:v>
      </x:c>
      <x:c r="E216" s="24" t="n">
        <x:v>0</x:v>
      </x:c>
      <x:c r="F216" s="23" t="str">
        <x:v>Financiación</x:v>
      </x:c>
      <x:c r="G216" s="23" t="str">
        <x:v>Tesorería simulada</x:v>
      </x:c>
      <x:c r="H216" s="23" t="str">
        <x:v>Actual</x:v>
      </x:c>
    </x:row>
    <x:row r="217">
      <x:c r="A217" s="23" t="str">
        <x:v>2025-10</x:v>
      </x:c>
      <x:c r="B217" s="23" t="str">
        <x:v>2025-10-31</x:v>
      </x:c>
      <x:c r="C217" s="23" t="str">
        <x:v>DEBT_REPAYMENTS</x:v>
      </x:c>
      <x:c r="D217" s="23" t="str">
        <x:v>Amortizaciones de deuda</x:v>
      </x:c>
      <x:c r="E217" s="24" t="n">
        <x:v>0</x:v>
      </x:c>
      <x:c r="F217" s="23" t="str">
        <x:v>Financiación</x:v>
      </x:c>
      <x:c r="G217" s="23" t="str">
        <x:v>Tesorería simulada</x:v>
      </x:c>
      <x:c r="H217" s="23" t="str">
        <x:v>Actual</x:v>
      </x:c>
    </x:row>
    <x:row r="218">
      <x:c r="A218" s="23" t="str">
        <x:v>2025-10</x:v>
      </x:c>
      <x:c r="B218" s="23" t="str">
        <x:v>2025-10-31</x:v>
      </x:c>
      <x:c r="C218" s="23" t="str">
        <x:v>LEASE_PRINCIPAL</x:v>
      </x:c>
      <x:c r="D218" s="23" t="str">
        <x:v>Pagos de principal de arrendamientos</x:v>
      </x:c>
      <x:c r="E218" s="24" t="n">
        <x:v>25000</x:v>
      </x:c>
      <x:c r="F218" s="23" t="str">
        <x:v>Financiación</x:v>
      </x:c>
      <x:c r="G218" s="23" t="str">
        <x:v>Tesorería simulada</x:v>
      </x:c>
      <x:c r="H218" s="23" t="str">
        <x:v>Actual</x:v>
      </x:c>
    </x:row>
    <x:row r="219">
      <x:c r="A219" s="23" t="str">
        <x:v>2025-10</x:v>
      </x:c>
      <x:c r="B219" s="23" t="str">
        <x:v>2025-10-31</x:v>
      </x:c>
      <x:c r="C219" s="23" t="str">
        <x:v>DIVIDENDS</x:v>
      </x:c>
      <x:c r="D219" s="23" t="str">
        <x:v>Dividendos pagados</x:v>
      </x:c>
      <x:c r="E219" s="24" t="n">
        <x:v>0</x:v>
      </x:c>
      <x:c r="F219" s="23" t="str">
        <x:v>Financiación</x:v>
      </x:c>
      <x:c r="G219" s="23" t="str">
        <x:v>Tesorería simulada</x:v>
      </x:c>
      <x:c r="H219" s="23" t="str">
        <x:v>Actual</x:v>
      </x:c>
    </x:row>
    <x:row r="220">
      <x:c r="A220" s="23" t="str">
        <x:v>2025-10</x:v>
      </x:c>
      <x:c r="B220" s="23" t="str">
        <x:v>2025-10-31</x:v>
      </x:c>
      <x:c r="C220" s="23" t="str">
        <x:v>CAPITAL_CONTRIBUTIONS</x:v>
      </x:c>
      <x:c r="D220" s="23" t="str">
        <x:v>Aportaciones de capital</x:v>
      </x:c>
      <x:c r="E220" s="24" t="n">
        <x:v>0</x:v>
      </x:c>
      <x:c r="F220" s="23" t="str">
        <x:v>Financiación</x:v>
      </x:c>
      <x:c r="G220" s="23" t="str">
        <x:v>Tesorería simulada</x:v>
      </x:c>
      <x:c r="H220" s="23" t="str">
        <x:v>Actual</x:v>
      </x:c>
    </x:row>
    <x:row r="221">
      <x:c r="A221" s="23" t="str">
        <x:v>2025-10</x:v>
      </x:c>
      <x:c r="B221" s="23" t="str">
        <x:v>2025-10-31</x:v>
      </x:c>
      <x:c r="C221" s="23" t="str">
        <x:v>FX_OTHER</x:v>
      </x:c>
      <x:c r="D221" s="23" t="str">
        <x:v>Efecto de tipo de cambio y otros</x:v>
      </x:c>
      <x:c r="E221" s="24" t="n">
        <x:v>0</x:v>
      </x:c>
      <x:c r="F221" s="23" t="str">
        <x:v>Otros</x:v>
      </x:c>
      <x:c r="G221" s="23" t="str">
        <x:v>Tesorería simulada</x:v>
      </x:c>
      <x:c r="H221" s="23" t="str">
        <x:v>Actual</x:v>
      </x:c>
    </x:row>
    <x:row r="222">
      <x:c r="A222" s="23" t="str">
        <x:v>2025-11</x:v>
      </x:c>
      <x:c r="B222" s="23" t="str">
        <x:v>2025-11-30</x:v>
      </x:c>
      <x:c r="C222" s="23" t="str">
        <x:v>CAPEX</x:v>
      </x:c>
      <x:c r="D222" s="23" t="str">
        <x:v>Inversiones en inmovilizado material</x:v>
      </x:c>
      <x:c r="E222" s="24" t="n">
        <x:v>161687</x:v>
      </x:c>
      <x:c r="F222" s="23" t="str">
        <x:v>Inversión</x:v>
      </x:c>
      <x:c r="G222" s="23" t="str">
        <x:v>Tesorería simulada</x:v>
      </x:c>
      <x:c r="H222" s="23" t="str">
        <x:v>Actual</x:v>
      </x:c>
    </x:row>
    <x:row r="223">
      <x:c r="A223" s="23" t="str">
        <x:v>2025-11</x:v>
      </x:c>
      <x:c r="B223" s="23" t="str">
        <x:v>2025-11-30</x:v>
      </x:c>
      <x:c r="C223" s="23" t="str">
        <x:v>INTANGIBLE_ADDITIONS</x:v>
      </x:c>
      <x:c r="D223" s="23" t="str">
        <x:v>Altas de activos intangibles</x:v>
      </x:c>
      <x:c r="E223" s="24" t="n">
        <x:v>15000</x:v>
      </x:c>
      <x:c r="F223" s="23" t="str">
        <x:v>Inversión</x:v>
      </x:c>
      <x:c r="G223" s="23" t="str">
        <x:v>Tesorería simulada</x:v>
      </x:c>
      <x:c r="H223" s="23" t="str">
        <x:v>Actual</x:v>
      </x:c>
    </x:row>
    <x:row r="224">
      <x:c r="A224" s="23" t="str">
        <x:v>2025-11</x:v>
      </x:c>
      <x:c r="B224" s="23" t="str">
        <x:v>2025-11-30</x:v>
      </x:c>
      <x:c r="C224" s="23" t="str">
        <x:v>ASSET_SALE_PROCEEDS</x:v>
      </x:c>
      <x:c r="D224" s="23" t="str">
        <x:v>Cobros por venta de activos</x:v>
      </x:c>
      <x:c r="E224" s="24" t="n">
        <x:v>0</x:v>
      </x:c>
      <x:c r="F224" s="23" t="str">
        <x:v>Inversión</x:v>
      </x:c>
      <x:c r="G224" s="23" t="str">
        <x:v>Tesorería simulada</x:v>
      </x:c>
      <x:c r="H224" s="23" t="str">
        <x:v>Actual</x:v>
      </x:c>
    </x:row>
    <x:row r="225">
      <x:c r="A225" s="23" t="str">
        <x:v>2025-11</x:v>
      </x:c>
      <x:c r="B225" s="23" t="str">
        <x:v>2025-11-30</x:v>
      </x:c>
      <x:c r="C225" s="23" t="str">
        <x:v>ACQUISITIONS</x:v>
      </x:c>
      <x:c r="D225" s="23" t="str">
        <x:v>Adquisiciones e inversiones financieras</x:v>
      </x:c>
      <x:c r="E225" s="24" t="n">
        <x:v>0</x:v>
      </x:c>
      <x:c r="F225" s="23" t="str">
        <x:v>Inversión</x:v>
      </x:c>
      <x:c r="G225" s="23" t="str">
        <x:v>Tesorería simulada</x:v>
      </x:c>
      <x:c r="H225" s="23" t="str">
        <x:v>Actual</x:v>
      </x:c>
    </x:row>
    <x:row r="226">
      <x:c r="A226" s="23" t="str">
        <x:v>2025-11</x:v>
      </x:c>
      <x:c r="B226" s="23" t="str">
        <x:v>2025-11-30</x:v>
      </x:c>
      <x:c r="C226" s="23" t="str">
        <x:v>DEBT_DRAWDOWNS</x:v>
      </x:c>
      <x:c r="D226" s="23" t="str">
        <x:v>Disposiciones de deuda</x:v>
      </x:c>
      <x:c r="E226" s="24" t="n">
        <x:v>0</x:v>
      </x:c>
      <x:c r="F226" s="23" t="str">
        <x:v>Financiación</x:v>
      </x:c>
      <x:c r="G226" s="23" t="str">
        <x:v>Tesorería simulada</x:v>
      </x:c>
      <x:c r="H226" s="23" t="str">
        <x:v>Actual</x:v>
      </x:c>
    </x:row>
    <x:row r="227">
      <x:c r="A227" s="23" t="str">
        <x:v>2025-11</x:v>
      </x:c>
      <x:c r="B227" s="23" t="str">
        <x:v>2025-11-30</x:v>
      </x:c>
      <x:c r="C227" s="23" t="str">
        <x:v>DEBT_REPAYMENTS</x:v>
      </x:c>
      <x:c r="D227" s="23" t="str">
        <x:v>Amortizaciones de deuda</x:v>
      </x:c>
      <x:c r="E227" s="24" t="n">
        <x:v>0</x:v>
      </x:c>
      <x:c r="F227" s="23" t="str">
        <x:v>Financiación</x:v>
      </x:c>
      <x:c r="G227" s="23" t="str">
        <x:v>Tesorería simulada</x:v>
      </x:c>
      <x:c r="H227" s="23" t="str">
        <x:v>Actual</x:v>
      </x:c>
    </x:row>
    <x:row r="228">
      <x:c r="A228" s="23" t="str">
        <x:v>2025-11</x:v>
      </x:c>
      <x:c r="B228" s="23" t="str">
        <x:v>2025-11-30</x:v>
      </x:c>
      <x:c r="C228" s="23" t="str">
        <x:v>LEASE_PRINCIPAL</x:v>
      </x:c>
      <x:c r="D228" s="23" t="str">
        <x:v>Pagos de principal de arrendamientos</x:v>
      </x:c>
      <x:c r="E228" s="24" t="n">
        <x:v>25000</x:v>
      </x:c>
      <x:c r="F228" s="23" t="str">
        <x:v>Financiación</x:v>
      </x:c>
      <x:c r="G228" s="23" t="str">
        <x:v>Tesorería simulada</x:v>
      </x:c>
      <x:c r="H228" s="23" t="str">
        <x:v>Actual</x:v>
      </x:c>
    </x:row>
    <x:row r="229">
      <x:c r="A229" s="23" t="str">
        <x:v>2025-11</x:v>
      </x:c>
      <x:c r="B229" s="23" t="str">
        <x:v>2025-11-30</x:v>
      </x:c>
      <x:c r="C229" s="23" t="str">
        <x:v>DIVIDENDS</x:v>
      </x:c>
      <x:c r="D229" s="23" t="str">
        <x:v>Dividendos pagados</x:v>
      </x:c>
      <x:c r="E229" s="24" t="n">
        <x:v>0</x:v>
      </x:c>
      <x:c r="F229" s="23" t="str">
        <x:v>Financiación</x:v>
      </x:c>
      <x:c r="G229" s="23" t="str">
        <x:v>Tesorería simulada</x:v>
      </x:c>
      <x:c r="H229" s="23" t="str">
        <x:v>Actual</x:v>
      </x:c>
    </x:row>
    <x:row r="230">
      <x:c r="A230" s="23" t="str">
        <x:v>2025-11</x:v>
      </x:c>
      <x:c r="B230" s="23" t="str">
        <x:v>2025-11-30</x:v>
      </x:c>
      <x:c r="C230" s="23" t="str">
        <x:v>CAPITAL_CONTRIBUTIONS</x:v>
      </x:c>
      <x:c r="D230" s="23" t="str">
        <x:v>Aportaciones de capital</x:v>
      </x:c>
      <x:c r="E230" s="24" t="n">
        <x:v>0</x:v>
      </x:c>
      <x:c r="F230" s="23" t="str">
        <x:v>Financiación</x:v>
      </x:c>
      <x:c r="G230" s="23" t="str">
        <x:v>Tesorería simulada</x:v>
      </x:c>
      <x:c r="H230" s="23" t="str">
        <x:v>Actual</x:v>
      </x:c>
    </x:row>
    <x:row r="231">
      <x:c r="A231" s="23" t="str">
        <x:v>2025-11</x:v>
      </x:c>
      <x:c r="B231" s="23" t="str">
        <x:v>2025-11-30</x:v>
      </x:c>
      <x:c r="C231" s="23" t="str">
        <x:v>FX_OTHER</x:v>
      </x:c>
      <x:c r="D231" s="23" t="str">
        <x:v>Efecto de tipo de cambio y otros</x:v>
      </x:c>
      <x:c r="E231" s="24" t="n">
        <x:v>0</x:v>
      </x:c>
      <x:c r="F231" s="23" t="str">
        <x:v>Otros</x:v>
      </x:c>
      <x:c r="G231" s="23" t="str">
        <x:v>Tesorería simulada</x:v>
      </x:c>
      <x:c r="H231" s="23" t="str">
        <x:v>Actual</x:v>
      </x:c>
    </x:row>
    <x:row r="232">
      <x:c r="A232" s="23" t="str">
        <x:v>2025-12</x:v>
      </x:c>
      <x:c r="B232" s="23" t="str">
        <x:v>2025-12-31</x:v>
      </x:c>
      <x:c r="C232" s="23" t="str">
        <x:v>CAPEX</x:v>
      </x:c>
      <x:c r="D232" s="23" t="str">
        <x:v>Inversiones en inmovilizado material</x:v>
      </x:c>
      <x:c r="E232" s="24" t="n">
        <x:v>164563</x:v>
      </x:c>
      <x:c r="F232" s="23" t="str">
        <x:v>Inversión</x:v>
      </x:c>
      <x:c r="G232" s="23" t="str">
        <x:v>Tesorería simulada</x:v>
      </x:c>
      <x:c r="H232" s="23" t="str">
        <x:v>Actual</x:v>
      </x:c>
    </x:row>
    <x:row r="233">
      <x:c r="A233" s="23" t="str">
        <x:v>2025-12</x:v>
      </x:c>
      <x:c r="B233" s="23" t="str">
        <x:v>2025-12-31</x:v>
      </x:c>
      <x:c r="C233" s="23" t="str">
        <x:v>INTANGIBLE_ADDITIONS</x:v>
      </x:c>
      <x:c r="D233" s="23" t="str">
        <x:v>Altas de activos intangibles</x:v>
      </x:c>
      <x:c r="E233" s="24" t="n">
        <x:v>45000</x:v>
      </x:c>
      <x:c r="F233" s="23" t="str">
        <x:v>Inversión</x:v>
      </x:c>
      <x:c r="G233" s="23" t="str">
        <x:v>Tesorería simulada</x:v>
      </x:c>
      <x:c r="H233" s="23" t="str">
        <x:v>Actual</x:v>
      </x:c>
    </x:row>
    <x:row r="234">
      <x:c r="A234" s="23" t="str">
        <x:v>2025-12</x:v>
      </x:c>
      <x:c r="B234" s="23" t="str">
        <x:v>2025-12-31</x:v>
      </x:c>
      <x:c r="C234" s="23" t="str">
        <x:v>ASSET_SALE_PROCEEDS</x:v>
      </x:c>
      <x:c r="D234" s="23" t="str">
        <x:v>Cobros por venta de activos</x:v>
      </x:c>
      <x:c r="E234" s="24" t="n">
        <x:v>0</x:v>
      </x:c>
      <x:c r="F234" s="23" t="str">
        <x:v>Inversión</x:v>
      </x:c>
      <x:c r="G234" s="23" t="str">
        <x:v>Tesorería simulada</x:v>
      </x:c>
      <x:c r="H234" s="23" t="str">
        <x:v>Actual</x:v>
      </x:c>
    </x:row>
    <x:row r="235">
      <x:c r="A235" s="23" t="str">
        <x:v>2025-12</x:v>
      </x:c>
      <x:c r="B235" s="23" t="str">
        <x:v>2025-12-31</x:v>
      </x:c>
      <x:c r="C235" s="23" t="str">
        <x:v>ACQUISITIONS</x:v>
      </x:c>
      <x:c r="D235" s="23" t="str">
        <x:v>Adquisiciones e inversiones financieras</x:v>
      </x:c>
      <x:c r="E235" s="24" t="n">
        <x:v>0</x:v>
      </x:c>
      <x:c r="F235" s="23" t="str">
        <x:v>Inversión</x:v>
      </x:c>
      <x:c r="G235" s="23" t="str">
        <x:v>Tesorería simulada</x:v>
      </x:c>
      <x:c r="H235" s="23" t="str">
        <x:v>Actual</x:v>
      </x:c>
    </x:row>
    <x:row r="236">
      <x:c r="A236" s="23" t="str">
        <x:v>2025-12</x:v>
      </x:c>
      <x:c r="B236" s="23" t="str">
        <x:v>2025-12-31</x:v>
      </x:c>
      <x:c r="C236" s="23" t="str">
        <x:v>DEBT_DRAWDOWNS</x:v>
      </x:c>
      <x:c r="D236" s="23" t="str">
        <x:v>Disposiciones de deuda</x:v>
      </x:c>
      <x:c r="E236" s="24" t="n">
        <x:v>0</x:v>
      </x:c>
      <x:c r="F236" s="23" t="str">
        <x:v>Financiación</x:v>
      </x:c>
      <x:c r="G236" s="23" t="str">
        <x:v>Tesorería simulada</x:v>
      </x:c>
      <x:c r="H236" s="23" t="str">
        <x:v>Actual</x:v>
      </x:c>
    </x:row>
    <x:row r="237">
      <x:c r="A237" s="23" t="str">
        <x:v>2025-12</x:v>
      </x:c>
      <x:c r="B237" s="23" t="str">
        <x:v>2025-12-31</x:v>
      </x:c>
      <x:c r="C237" s="23" t="str">
        <x:v>DEBT_REPAYMENTS</x:v>
      </x:c>
      <x:c r="D237" s="23" t="str">
        <x:v>Amortizaciones de deuda</x:v>
      </x:c>
      <x:c r="E237" s="24" t="n">
        <x:v>125000</x:v>
      </x:c>
      <x:c r="F237" s="23" t="str">
        <x:v>Financiación</x:v>
      </x:c>
      <x:c r="G237" s="23" t="str">
        <x:v>Tesorería simulada</x:v>
      </x:c>
      <x:c r="H237" s="23" t="str">
        <x:v>Actual</x:v>
      </x:c>
    </x:row>
    <x:row r="238">
      <x:c r="A238" s="23" t="str">
        <x:v>2025-12</x:v>
      </x:c>
      <x:c r="B238" s="23" t="str">
        <x:v>2025-12-31</x:v>
      </x:c>
      <x:c r="C238" s="23" t="str">
        <x:v>LEASE_PRINCIPAL</x:v>
      </x:c>
      <x:c r="D238" s="23" t="str">
        <x:v>Pagos de principal de arrendamientos</x:v>
      </x:c>
      <x:c r="E238" s="24" t="n">
        <x:v>25000</x:v>
      </x:c>
      <x:c r="F238" s="23" t="str">
        <x:v>Financiación</x:v>
      </x:c>
      <x:c r="G238" s="23" t="str">
        <x:v>Tesorería simulada</x:v>
      </x:c>
      <x:c r="H238" s="23" t="str">
        <x:v>Actual</x:v>
      </x:c>
    </x:row>
    <x:row r="239">
      <x:c r="A239" s="23" t="str">
        <x:v>2025-12</x:v>
      </x:c>
      <x:c r="B239" s="23" t="str">
        <x:v>2025-12-31</x:v>
      </x:c>
      <x:c r="C239" s="23" t="str">
        <x:v>DIVIDENDS</x:v>
      </x:c>
      <x:c r="D239" s="23" t="str">
        <x:v>Dividendos pagados</x:v>
      </x:c>
      <x:c r="E239" s="24" t="n">
        <x:v>200000</x:v>
      </x:c>
      <x:c r="F239" s="23" t="str">
        <x:v>Financiación</x:v>
      </x:c>
      <x:c r="G239" s="23" t="str">
        <x:v>Tesorería simulada</x:v>
      </x:c>
      <x:c r="H239" s="23" t="str">
        <x:v>Actual</x:v>
      </x:c>
    </x:row>
    <x:row r="240">
      <x:c r="A240" s="23" t="str">
        <x:v>2025-12</x:v>
      </x:c>
      <x:c r="B240" s="23" t="str">
        <x:v>2025-12-31</x:v>
      </x:c>
      <x:c r="C240" s="23" t="str">
        <x:v>CAPITAL_CONTRIBUTIONS</x:v>
      </x:c>
      <x:c r="D240" s="23" t="str">
        <x:v>Aportaciones de capital</x:v>
      </x:c>
      <x:c r="E240" s="24" t="n">
        <x:v>0</x:v>
      </x:c>
      <x:c r="F240" s="23" t="str">
        <x:v>Financiación</x:v>
      </x:c>
      <x:c r="G240" s="23" t="str">
        <x:v>Tesorería simulada</x:v>
      </x:c>
      <x:c r="H240" s="23" t="str">
        <x:v>Actual</x:v>
      </x:c>
    </x:row>
    <x:row r="241">
      <x:c r="A241" s="23" t="str">
        <x:v>2025-12</x:v>
      </x:c>
      <x:c r="B241" s="23" t="str">
        <x:v>2025-12-31</x:v>
      </x:c>
      <x:c r="C241" s="23" t="str">
        <x:v>FX_OTHER</x:v>
      </x:c>
      <x:c r="D241" s="23" t="str">
        <x:v>Efecto de tipo de cambio y otros</x:v>
      </x:c>
      <x:c r="E241" s="24" t="n">
        <x:v>0</x:v>
      </x:c>
      <x:c r="F241" s="23" t="str">
        <x:v>Otros</x:v>
      </x:c>
      <x:c r="G241" s="23" t="str">
        <x:v>Tesorería simulada</x:v>
      </x:c>
      <x:c r="H241" s="23" t="str">
        <x:v>Actual</x:v>
      </x:c>
    </x:row>
    <x:row r="242">
      <x:c r="A242" s="23" t="str">
        <x:v>2026-01</x:v>
      </x:c>
      <x:c r="B242" s="23" t="str">
        <x:v>2026-01-31</x:v>
      </x:c>
      <x:c r="C242" s="23" t="str">
        <x:v>CAPEX</x:v>
      </x:c>
      <x:c r="D242" s="23" t="str">
        <x:v>Inversiones en inmovilizado material</x:v>
      </x:c>
      <x:c r="E242" s="24" t="n">
        <x:v>164734</x:v>
      </x:c>
      <x:c r="F242" s="23" t="str">
        <x:v>Inversión</x:v>
      </x:c>
      <x:c r="G242" s="23" t="str">
        <x:v>Tesorería simulada</x:v>
      </x:c>
      <x:c r="H242" s="23" t="str">
        <x:v>Actual</x:v>
      </x:c>
    </x:row>
    <x:row r="243">
      <x:c r="A243" s="23" t="str">
        <x:v>2026-01</x:v>
      </x:c>
      <x:c r="B243" s="23" t="str">
        <x:v>2026-01-31</x:v>
      </x:c>
      <x:c r="C243" s="23" t="str">
        <x:v>INTANGIBLE_ADDITIONS</x:v>
      </x:c>
      <x:c r="D243" s="23" t="str">
        <x:v>Altas de activos intangibles</x:v>
      </x:c>
      <x:c r="E243" s="24" t="n">
        <x:v>15000</x:v>
      </x:c>
      <x:c r="F243" s="23" t="str">
        <x:v>Inversión</x:v>
      </x:c>
      <x:c r="G243" s="23" t="str">
        <x:v>Tesorería simulada</x:v>
      </x:c>
      <x:c r="H243" s="23" t="str">
        <x:v>Actual</x:v>
      </x:c>
    </x:row>
    <x:row r="244">
      <x:c r="A244" s="23" t="str">
        <x:v>2026-01</x:v>
      </x:c>
      <x:c r="B244" s="23" t="str">
        <x:v>2026-01-31</x:v>
      </x:c>
      <x:c r="C244" s="23" t="str">
        <x:v>ASSET_SALE_PROCEEDS</x:v>
      </x:c>
      <x:c r="D244" s="23" t="str">
        <x:v>Cobros por venta de activos</x:v>
      </x:c>
      <x:c r="E244" s="24" t="n">
        <x:v>0</x:v>
      </x:c>
      <x:c r="F244" s="23" t="str">
        <x:v>Inversión</x:v>
      </x:c>
      <x:c r="G244" s="23" t="str">
        <x:v>Tesorería simulada</x:v>
      </x:c>
      <x:c r="H244" s="23" t="str">
        <x:v>Actual</x:v>
      </x:c>
    </x:row>
    <x:row r="245">
      <x:c r="A245" s="23" t="str">
        <x:v>2026-01</x:v>
      </x:c>
      <x:c r="B245" s="23" t="str">
        <x:v>2026-01-31</x:v>
      </x:c>
      <x:c r="C245" s="23" t="str">
        <x:v>ACQUISITIONS</x:v>
      </x:c>
      <x:c r="D245" s="23" t="str">
        <x:v>Adquisiciones e inversiones financieras</x:v>
      </x:c>
      <x:c r="E245" s="24" t="n">
        <x:v>0</x:v>
      </x:c>
      <x:c r="F245" s="23" t="str">
        <x:v>Inversión</x:v>
      </x:c>
      <x:c r="G245" s="23" t="str">
        <x:v>Tesorería simulada</x:v>
      </x:c>
      <x:c r="H245" s="23" t="str">
        <x:v>Actual</x:v>
      </x:c>
    </x:row>
    <x:row r="246">
      <x:c r="A246" s="23" t="str">
        <x:v>2026-01</x:v>
      </x:c>
      <x:c r="B246" s="23" t="str">
        <x:v>2026-01-31</x:v>
      </x:c>
      <x:c r="C246" s="23" t="str">
        <x:v>DEBT_DRAWDOWNS</x:v>
      </x:c>
      <x:c r="D246" s="23" t="str">
        <x:v>Disposiciones de deuda</x:v>
      </x:c>
      <x:c r="E246" s="24" t="n">
        <x:v>0</x:v>
      </x:c>
      <x:c r="F246" s="23" t="str">
        <x:v>Financiación</x:v>
      </x:c>
      <x:c r="G246" s="23" t="str">
        <x:v>Tesorería simulada</x:v>
      </x:c>
      <x:c r="H246" s="23" t="str">
        <x:v>Actual</x:v>
      </x:c>
    </x:row>
    <x:row r="247">
      <x:c r="A247" s="23" t="str">
        <x:v>2026-01</x:v>
      </x:c>
      <x:c r="B247" s="23" t="str">
        <x:v>2026-01-31</x:v>
      </x:c>
      <x:c r="C247" s="23" t="str">
        <x:v>DEBT_REPAYMENTS</x:v>
      </x:c>
      <x:c r="D247" s="23" t="str">
        <x:v>Amortizaciones de deuda</x:v>
      </x:c>
      <x:c r="E247" s="24" t="n">
        <x:v>0</x:v>
      </x:c>
      <x:c r="F247" s="23" t="str">
        <x:v>Financiación</x:v>
      </x:c>
      <x:c r="G247" s="23" t="str">
        <x:v>Tesorería simulada</x:v>
      </x:c>
      <x:c r="H247" s="23" t="str">
        <x:v>Actual</x:v>
      </x:c>
    </x:row>
    <x:row r="248">
      <x:c r="A248" s="23" t="str">
        <x:v>2026-01</x:v>
      </x:c>
      <x:c r="B248" s="23" t="str">
        <x:v>2026-01-31</x:v>
      </x:c>
      <x:c r="C248" s="23" t="str">
        <x:v>LEASE_PRINCIPAL</x:v>
      </x:c>
      <x:c r="D248" s="23" t="str">
        <x:v>Pagos de principal de arrendamientos</x:v>
      </x:c>
      <x:c r="E248" s="24" t="n">
        <x:v>25000</x:v>
      </x:c>
      <x:c r="F248" s="23" t="str">
        <x:v>Financiación</x:v>
      </x:c>
      <x:c r="G248" s="23" t="str">
        <x:v>Tesorería simulada</x:v>
      </x:c>
      <x:c r="H248" s="23" t="str">
        <x:v>Actual</x:v>
      </x:c>
    </x:row>
    <x:row r="249">
      <x:c r="A249" s="23" t="str">
        <x:v>2026-01</x:v>
      </x:c>
      <x:c r="B249" s="23" t="str">
        <x:v>2026-01-31</x:v>
      </x:c>
      <x:c r="C249" s="23" t="str">
        <x:v>DIVIDENDS</x:v>
      </x:c>
      <x:c r="D249" s="23" t="str">
        <x:v>Dividendos pagados</x:v>
      </x:c>
      <x:c r="E249" s="24" t="n">
        <x:v>0</x:v>
      </x:c>
      <x:c r="F249" s="23" t="str">
        <x:v>Financiación</x:v>
      </x:c>
      <x:c r="G249" s="23" t="str">
        <x:v>Tesorería simulada</x:v>
      </x:c>
      <x:c r="H249" s="23" t="str">
        <x:v>Actual</x:v>
      </x:c>
    </x:row>
    <x:row r="250">
      <x:c r="A250" s="23" t="str">
        <x:v>2026-01</x:v>
      </x:c>
      <x:c r="B250" s="23" t="str">
        <x:v>2026-01-31</x:v>
      </x:c>
      <x:c r="C250" s="23" t="str">
        <x:v>CAPITAL_CONTRIBUTIONS</x:v>
      </x:c>
      <x:c r="D250" s="23" t="str">
        <x:v>Aportaciones de capital</x:v>
      </x:c>
      <x:c r="E250" s="24" t="n">
        <x:v>0</x:v>
      </x:c>
      <x:c r="F250" s="23" t="str">
        <x:v>Financiación</x:v>
      </x:c>
      <x:c r="G250" s="23" t="str">
        <x:v>Tesorería simulada</x:v>
      </x:c>
      <x:c r="H250" s="23" t="str">
        <x:v>Actual</x:v>
      </x:c>
    </x:row>
    <x:row r="251">
      <x:c r="A251" s="23" t="str">
        <x:v>2026-01</x:v>
      </x:c>
      <x:c r="B251" s="23" t="str">
        <x:v>2026-01-31</x:v>
      </x:c>
      <x:c r="C251" s="23" t="str">
        <x:v>FX_OTHER</x:v>
      </x:c>
      <x:c r="D251" s="23" t="str">
        <x:v>Efecto de tipo de cambio y otros</x:v>
      </x:c>
      <x:c r="E251" s="24" t="n">
        <x:v>0</x:v>
      </x:c>
      <x:c r="F251" s="23" t="str">
        <x:v>Otros</x:v>
      </x:c>
      <x:c r="G251" s="23" t="str">
        <x:v>Tesorería simulada</x:v>
      </x:c>
      <x:c r="H251" s="23" t="str">
        <x:v>Actual</x:v>
      </x:c>
    </x:row>
    <x:row r="252">
      <x:c r="A252" s="23" t="str">
        <x:v>2026-02</x:v>
      </x:c>
      <x:c r="B252" s="23" t="str">
        <x:v>2026-02-28</x:v>
      </x:c>
      <x:c r="C252" s="23" t="str">
        <x:v>CAPEX</x:v>
      </x:c>
      <x:c r="D252" s="23" t="str">
        <x:v>Inversiones en inmovilizado material</x:v>
      </x:c>
      <x:c r="E252" s="24" t="n">
        <x:v>162182</x:v>
      </x:c>
      <x:c r="F252" s="23" t="str">
        <x:v>Inversión</x:v>
      </x:c>
      <x:c r="G252" s="23" t="str">
        <x:v>Tesorería simulada</x:v>
      </x:c>
      <x:c r="H252" s="23" t="str">
        <x:v>Actual</x:v>
      </x:c>
    </x:row>
    <x:row r="253">
      <x:c r="A253" s="23" t="str">
        <x:v>2026-02</x:v>
      </x:c>
      <x:c r="B253" s="23" t="str">
        <x:v>2026-02-28</x:v>
      </x:c>
      <x:c r="C253" s="23" t="str">
        <x:v>INTANGIBLE_ADDITIONS</x:v>
      </x:c>
      <x:c r="D253" s="23" t="str">
        <x:v>Altas de activos intangibles</x:v>
      </x:c>
      <x:c r="E253" s="24" t="n">
        <x:v>15000</x:v>
      </x:c>
      <x:c r="F253" s="23" t="str">
        <x:v>Inversión</x:v>
      </x:c>
      <x:c r="G253" s="23" t="str">
        <x:v>Tesorería simulada</x:v>
      </x:c>
      <x:c r="H253" s="23" t="str">
        <x:v>Actual</x:v>
      </x:c>
    </x:row>
    <x:row r="254">
      <x:c r="A254" s="23" t="str">
        <x:v>2026-02</x:v>
      </x:c>
      <x:c r="B254" s="23" t="str">
        <x:v>2026-02-28</x:v>
      </x:c>
      <x:c r="C254" s="23" t="str">
        <x:v>ASSET_SALE_PROCEEDS</x:v>
      </x:c>
      <x:c r="D254" s="23" t="str">
        <x:v>Cobros por venta de activos</x:v>
      </x:c>
      <x:c r="E254" s="24" t="n">
        <x:v>0</x:v>
      </x:c>
      <x:c r="F254" s="23" t="str">
        <x:v>Inversión</x:v>
      </x:c>
      <x:c r="G254" s="23" t="str">
        <x:v>Tesorería simulada</x:v>
      </x:c>
      <x:c r="H254" s="23" t="str">
        <x:v>Actual</x:v>
      </x:c>
    </x:row>
    <x:row r="255">
      <x:c r="A255" s="23" t="str">
        <x:v>2026-02</x:v>
      </x:c>
      <x:c r="B255" s="23" t="str">
        <x:v>2026-02-28</x:v>
      </x:c>
      <x:c r="C255" s="23" t="str">
        <x:v>ACQUISITIONS</x:v>
      </x:c>
      <x:c r="D255" s="23" t="str">
        <x:v>Adquisiciones e inversiones financieras</x:v>
      </x:c>
      <x:c r="E255" s="24" t="n">
        <x:v>0</x:v>
      </x:c>
      <x:c r="F255" s="23" t="str">
        <x:v>Inversión</x:v>
      </x:c>
      <x:c r="G255" s="23" t="str">
        <x:v>Tesorería simulada</x:v>
      </x:c>
      <x:c r="H255" s="23" t="str">
        <x:v>Actual</x:v>
      </x:c>
    </x:row>
    <x:row r="256">
      <x:c r="A256" s="23" t="str">
        <x:v>2026-02</x:v>
      </x:c>
      <x:c r="B256" s="23" t="str">
        <x:v>2026-02-28</x:v>
      </x:c>
      <x:c r="C256" s="23" t="str">
        <x:v>DEBT_DRAWDOWNS</x:v>
      </x:c>
      <x:c r="D256" s="23" t="str">
        <x:v>Disposiciones de deuda</x:v>
      </x:c>
      <x:c r="E256" s="24" t="n">
        <x:v>0</x:v>
      </x:c>
      <x:c r="F256" s="23" t="str">
        <x:v>Financiación</x:v>
      </x:c>
      <x:c r="G256" s="23" t="str">
        <x:v>Tesorería simulada</x:v>
      </x:c>
      <x:c r="H256" s="23" t="str">
        <x:v>Actual</x:v>
      </x:c>
    </x:row>
    <x:row r="257">
      <x:c r="A257" s="23" t="str">
        <x:v>2026-02</x:v>
      </x:c>
      <x:c r="B257" s="23" t="str">
        <x:v>2026-02-28</x:v>
      </x:c>
      <x:c r="C257" s="23" t="str">
        <x:v>DEBT_REPAYMENTS</x:v>
      </x:c>
      <x:c r="D257" s="23" t="str">
        <x:v>Amortizaciones de deuda</x:v>
      </x:c>
      <x:c r="E257" s="24" t="n">
        <x:v>0</x:v>
      </x:c>
      <x:c r="F257" s="23" t="str">
        <x:v>Financiación</x:v>
      </x:c>
      <x:c r="G257" s="23" t="str">
        <x:v>Tesorería simulada</x:v>
      </x:c>
      <x:c r="H257" s="23" t="str">
        <x:v>Actual</x:v>
      </x:c>
    </x:row>
    <x:row r="258">
      <x:c r="A258" s="23" t="str">
        <x:v>2026-02</x:v>
      </x:c>
      <x:c r="B258" s="23" t="str">
        <x:v>2026-02-28</x:v>
      </x:c>
      <x:c r="C258" s="23" t="str">
        <x:v>LEASE_PRINCIPAL</x:v>
      </x:c>
      <x:c r="D258" s="23" t="str">
        <x:v>Pagos de principal de arrendamientos</x:v>
      </x:c>
      <x:c r="E258" s="24" t="n">
        <x:v>25000</x:v>
      </x:c>
      <x:c r="F258" s="23" t="str">
        <x:v>Financiación</x:v>
      </x:c>
      <x:c r="G258" s="23" t="str">
        <x:v>Tesorería simulada</x:v>
      </x:c>
      <x:c r="H258" s="23" t="str">
        <x:v>Actual</x:v>
      </x:c>
    </x:row>
    <x:row r="259">
      <x:c r="A259" s="23" t="str">
        <x:v>2026-02</x:v>
      </x:c>
      <x:c r="B259" s="23" t="str">
        <x:v>2026-02-28</x:v>
      </x:c>
      <x:c r="C259" s="23" t="str">
        <x:v>DIVIDENDS</x:v>
      </x:c>
      <x:c r="D259" s="23" t="str">
        <x:v>Dividendos pagados</x:v>
      </x:c>
      <x:c r="E259" s="24" t="n">
        <x:v>0</x:v>
      </x:c>
      <x:c r="F259" s="23" t="str">
        <x:v>Financiación</x:v>
      </x:c>
      <x:c r="G259" s="23" t="str">
        <x:v>Tesorería simulada</x:v>
      </x:c>
      <x:c r="H259" s="23" t="str">
        <x:v>Actual</x:v>
      </x:c>
    </x:row>
    <x:row r="260">
      <x:c r="A260" s="23" t="str">
        <x:v>2026-02</x:v>
      </x:c>
      <x:c r="B260" s="23" t="str">
        <x:v>2026-02-28</x:v>
      </x:c>
      <x:c r="C260" s="23" t="str">
        <x:v>CAPITAL_CONTRIBUTIONS</x:v>
      </x:c>
      <x:c r="D260" s="23" t="str">
        <x:v>Aportaciones de capital</x:v>
      </x:c>
      <x:c r="E260" s="24" t="n">
        <x:v>0</x:v>
      </x:c>
      <x:c r="F260" s="23" t="str">
        <x:v>Financiación</x:v>
      </x:c>
      <x:c r="G260" s="23" t="str">
        <x:v>Tesorería simulada</x:v>
      </x:c>
      <x:c r="H260" s="23" t="str">
        <x:v>Actual</x:v>
      </x:c>
    </x:row>
    <x:row r="261">
      <x:c r="A261" s="23" t="str">
        <x:v>2026-02</x:v>
      </x:c>
      <x:c r="B261" s="23" t="str">
        <x:v>2026-02-28</x:v>
      </x:c>
      <x:c r="C261" s="23" t="str">
        <x:v>FX_OTHER</x:v>
      </x:c>
      <x:c r="D261" s="23" t="str">
        <x:v>Efecto de tipo de cambio y otros</x:v>
      </x:c>
      <x:c r="E261" s="24" t="n">
        <x:v>0</x:v>
      </x:c>
      <x:c r="F261" s="23" t="str">
        <x:v>Otros</x:v>
      </x:c>
      <x:c r="G261" s="23" t="str">
        <x:v>Tesorería simulada</x:v>
      </x:c>
      <x:c r="H261" s="23" t="str">
        <x:v>Actual</x:v>
      </x:c>
    </x:row>
    <x:row r="262">
      <x:c r="A262" s="23" t="str">
        <x:v>2026-03</x:v>
      </x:c>
      <x:c r="B262" s="23" t="str">
        <x:v>2026-03-31</x:v>
      </x:c>
      <x:c r="C262" s="23" t="str">
        <x:v>CAPEX</x:v>
      </x:c>
      <x:c r="D262" s="23" t="str">
        <x:v>Inversiones en inmovilizado material</x:v>
      </x:c>
      <x:c r="E262" s="24" t="n">
        <x:v>157189</x:v>
      </x:c>
      <x:c r="F262" s="23" t="str">
        <x:v>Inversión</x:v>
      </x:c>
      <x:c r="G262" s="23" t="str">
        <x:v>Tesorería simulada</x:v>
      </x:c>
      <x:c r="H262" s="23" t="str">
        <x:v>Actual</x:v>
      </x:c>
    </x:row>
    <x:row r="263">
      <x:c r="A263" s="23" t="str">
        <x:v>2026-03</x:v>
      </x:c>
      <x:c r="B263" s="23" t="str">
        <x:v>2026-03-31</x:v>
      </x:c>
      <x:c r="C263" s="23" t="str">
        <x:v>INTANGIBLE_ADDITIONS</x:v>
      </x:c>
      <x:c r="D263" s="23" t="str">
        <x:v>Altas de activos intangibles</x:v>
      </x:c>
      <x:c r="E263" s="24" t="n">
        <x:v>45000</x:v>
      </x:c>
      <x:c r="F263" s="23" t="str">
        <x:v>Inversión</x:v>
      </x:c>
      <x:c r="G263" s="23" t="str">
        <x:v>Tesorería simulada</x:v>
      </x:c>
      <x:c r="H263" s="23" t="str">
        <x:v>Actual</x:v>
      </x:c>
    </x:row>
    <x:row r="264">
      <x:c r="A264" s="23" t="str">
        <x:v>2026-03</x:v>
      </x:c>
      <x:c r="B264" s="23" t="str">
        <x:v>2026-03-31</x:v>
      </x:c>
      <x:c r="C264" s="23" t="str">
        <x:v>ASSET_SALE_PROCEEDS</x:v>
      </x:c>
      <x:c r="D264" s="23" t="str">
        <x:v>Cobros por venta de activos</x:v>
      </x:c>
      <x:c r="E264" s="24" t="n">
        <x:v>0</x:v>
      </x:c>
      <x:c r="F264" s="23" t="str">
        <x:v>Inversión</x:v>
      </x:c>
      <x:c r="G264" s="23" t="str">
        <x:v>Tesorería simulada</x:v>
      </x:c>
      <x:c r="H264" s="23" t="str">
        <x:v>Actual</x:v>
      </x:c>
    </x:row>
    <x:row r="265">
      <x:c r="A265" s="23" t="str">
        <x:v>2026-03</x:v>
      </x:c>
      <x:c r="B265" s="23" t="str">
        <x:v>2026-03-31</x:v>
      </x:c>
      <x:c r="C265" s="23" t="str">
        <x:v>ACQUISITIONS</x:v>
      </x:c>
      <x:c r="D265" s="23" t="str">
        <x:v>Adquisiciones e inversiones financieras</x:v>
      </x:c>
      <x:c r="E265" s="24" t="n">
        <x:v>0</x:v>
      </x:c>
      <x:c r="F265" s="23" t="str">
        <x:v>Inversión</x:v>
      </x:c>
      <x:c r="G265" s="23" t="str">
        <x:v>Tesorería simulada</x:v>
      </x:c>
      <x:c r="H265" s="23" t="str">
        <x:v>Actual</x:v>
      </x:c>
    </x:row>
    <x:row r="266">
      <x:c r="A266" s="23" t="str">
        <x:v>2026-03</x:v>
      </x:c>
      <x:c r="B266" s="23" t="str">
        <x:v>2026-03-31</x:v>
      </x:c>
      <x:c r="C266" s="23" t="str">
        <x:v>DEBT_DRAWDOWNS</x:v>
      </x:c>
      <x:c r="D266" s="23" t="str">
        <x:v>Disposiciones de deuda</x:v>
      </x:c>
      <x:c r="E266" s="24" t="n">
        <x:v>0</x:v>
      </x:c>
      <x:c r="F266" s="23" t="str">
        <x:v>Financiación</x:v>
      </x:c>
      <x:c r="G266" s="23" t="str">
        <x:v>Tesorería simulada</x:v>
      </x:c>
      <x:c r="H266" s="23" t="str">
        <x:v>Actual</x:v>
      </x:c>
    </x:row>
    <x:row r="267">
      <x:c r="A267" s="23" t="str">
        <x:v>2026-03</x:v>
      </x:c>
      <x:c r="B267" s="23" t="str">
        <x:v>2026-03-31</x:v>
      </x:c>
      <x:c r="C267" s="23" t="str">
        <x:v>DEBT_REPAYMENTS</x:v>
      </x:c>
      <x:c r="D267" s="23" t="str">
        <x:v>Amortizaciones de deuda</x:v>
      </x:c>
      <x:c r="E267" s="24" t="n">
        <x:v>125000</x:v>
      </x:c>
      <x:c r="F267" s="23" t="str">
        <x:v>Financiación</x:v>
      </x:c>
      <x:c r="G267" s="23" t="str">
        <x:v>Tesorería simulada</x:v>
      </x:c>
      <x:c r="H267" s="23" t="str">
        <x:v>Actual</x:v>
      </x:c>
    </x:row>
    <x:row r="268">
      <x:c r="A268" s="23" t="str">
        <x:v>2026-03</x:v>
      </x:c>
      <x:c r="B268" s="23" t="str">
        <x:v>2026-03-31</x:v>
      </x:c>
      <x:c r="C268" s="23" t="str">
        <x:v>LEASE_PRINCIPAL</x:v>
      </x:c>
      <x:c r="D268" s="23" t="str">
        <x:v>Pagos de principal de arrendamientos</x:v>
      </x:c>
      <x:c r="E268" s="24" t="n">
        <x:v>25000</x:v>
      </x:c>
      <x:c r="F268" s="23" t="str">
        <x:v>Financiación</x:v>
      </x:c>
      <x:c r="G268" s="23" t="str">
        <x:v>Tesorería simulada</x:v>
      </x:c>
      <x:c r="H268" s="23" t="str">
        <x:v>Actual</x:v>
      </x:c>
    </x:row>
    <x:row r="269">
      <x:c r="A269" s="23" t="str">
        <x:v>2026-03</x:v>
      </x:c>
      <x:c r="B269" s="23" t="str">
        <x:v>2026-03-31</x:v>
      </x:c>
      <x:c r="C269" s="23" t="str">
        <x:v>DIVIDENDS</x:v>
      </x:c>
      <x:c r="D269" s="23" t="str">
        <x:v>Dividendos pagados</x:v>
      </x:c>
      <x:c r="E269" s="24" t="n">
        <x:v>0</x:v>
      </x:c>
      <x:c r="F269" s="23" t="str">
        <x:v>Financiación</x:v>
      </x:c>
      <x:c r="G269" s="23" t="str">
        <x:v>Tesorería simulada</x:v>
      </x:c>
      <x:c r="H269" s="23" t="str">
        <x:v>Actual</x:v>
      </x:c>
    </x:row>
    <x:row r="270">
      <x:c r="A270" s="23" t="str">
        <x:v>2026-03</x:v>
      </x:c>
      <x:c r="B270" s="23" t="str">
        <x:v>2026-03-31</x:v>
      </x:c>
      <x:c r="C270" s="23" t="str">
        <x:v>CAPITAL_CONTRIBUTIONS</x:v>
      </x:c>
      <x:c r="D270" s="23" t="str">
        <x:v>Aportaciones de capital</x:v>
      </x:c>
      <x:c r="E270" s="24" t="n">
        <x:v>0</x:v>
      </x:c>
      <x:c r="F270" s="23" t="str">
        <x:v>Financiación</x:v>
      </x:c>
      <x:c r="G270" s="23" t="str">
        <x:v>Tesorería simulada</x:v>
      </x:c>
      <x:c r="H270" s="23" t="str">
        <x:v>Actual</x:v>
      </x:c>
    </x:row>
    <x:row r="271">
      <x:c r="A271" s="23" t="str">
        <x:v>2026-03</x:v>
      </x:c>
      <x:c r="B271" s="23" t="str">
        <x:v>2026-03-31</x:v>
      </x:c>
      <x:c r="C271" s="23" t="str">
        <x:v>FX_OTHER</x:v>
      </x:c>
      <x:c r="D271" s="23" t="str">
        <x:v>Efecto de tipo de cambio y otros</x:v>
      </x:c>
      <x:c r="E271" s="24" t="n">
        <x:v>0</x:v>
      </x:c>
      <x:c r="F271" s="23" t="str">
        <x:v>Otros</x:v>
      </x:c>
      <x:c r="G271" s="23" t="str">
        <x:v>Tesorería simulada</x:v>
      </x:c>
      <x:c r="H271" s="23" t="str">
        <x:v>Actual</x:v>
      </x:c>
    </x:row>
    <x:row r="272">
      <x:c r="A272" s="23" t="str">
        <x:v>2026-04</x:v>
      </x:c>
      <x:c r="B272" s="23" t="str">
        <x:v>2026-04-30</x:v>
      </x:c>
      <x:c r="C272" s="23" t="str">
        <x:v>CAPEX</x:v>
      </x:c>
      <x:c r="D272" s="23" t="str">
        <x:v>Inversiones en inmovilizado material</x:v>
      </x:c>
      <x:c r="E272" s="24" t="n">
        <x:v>150303</x:v>
      </x:c>
      <x:c r="F272" s="23" t="str">
        <x:v>Inversión</x:v>
      </x:c>
      <x:c r="G272" s="23" t="str">
        <x:v>Tesorería simulada</x:v>
      </x:c>
      <x:c r="H272" s="23" t="str">
        <x:v>Actual</x:v>
      </x:c>
    </x:row>
    <x:row r="273">
      <x:c r="A273" s="23" t="str">
        <x:v>2026-04</x:v>
      </x:c>
      <x:c r="B273" s="23" t="str">
        <x:v>2026-04-30</x:v>
      </x:c>
      <x:c r="C273" s="23" t="str">
        <x:v>INTANGIBLE_ADDITIONS</x:v>
      </x:c>
      <x:c r="D273" s="23" t="str">
        <x:v>Altas de activos intangibles</x:v>
      </x:c>
      <x:c r="E273" s="24" t="n">
        <x:v>15000</x:v>
      </x:c>
      <x:c r="F273" s="23" t="str">
        <x:v>Inversión</x:v>
      </x:c>
      <x:c r="G273" s="23" t="str">
        <x:v>Tesorería simulada</x:v>
      </x:c>
      <x:c r="H273" s="23" t="str">
        <x:v>Actual</x:v>
      </x:c>
    </x:row>
    <x:row r="274">
      <x:c r="A274" s="23" t="str">
        <x:v>2026-04</x:v>
      </x:c>
      <x:c r="B274" s="23" t="str">
        <x:v>2026-04-30</x:v>
      </x:c>
      <x:c r="C274" s="23" t="str">
        <x:v>ASSET_SALE_PROCEEDS</x:v>
      </x:c>
      <x:c r="D274" s="23" t="str">
        <x:v>Cobros por venta de activos</x:v>
      </x:c>
      <x:c r="E274" s="24" t="n">
        <x:v>0</x:v>
      </x:c>
      <x:c r="F274" s="23" t="str">
        <x:v>Inversión</x:v>
      </x:c>
      <x:c r="G274" s="23" t="str">
        <x:v>Tesorería simulada</x:v>
      </x:c>
      <x:c r="H274" s="23" t="str">
        <x:v>Actual</x:v>
      </x:c>
    </x:row>
    <x:row r="275">
      <x:c r="A275" s="23" t="str">
        <x:v>2026-04</x:v>
      </x:c>
      <x:c r="B275" s="23" t="str">
        <x:v>2026-04-30</x:v>
      </x:c>
      <x:c r="C275" s="23" t="str">
        <x:v>ACQUISITIONS</x:v>
      </x:c>
      <x:c r="D275" s="23" t="str">
        <x:v>Adquisiciones e inversiones financieras</x:v>
      </x:c>
      <x:c r="E275" s="24" t="n">
        <x:v>0</x:v>
      </x:c>
      <x:c r="F275" s="23" t="str">
        <x:v>Inversión</x:v>
      </x:c>
      <x:c r="G275" s="23" t="str">
        <x:v>Tesorería simulada</x:v>
      </x:c>
      <x:c r="H275" s="23" t="str">
        <x:v>Actual</x:v>
      </x:c>
    </x:row>
    <x:row r="276">
      <x:c r="A276" s="23" t="str">
        <x:v>2026-04</x:v>
      </x:c>
      <x:c r="B276" s="23" t="str">
        <x:v>2026-04-30</x:v>
      </x:c>
      <x:c r="C276" s="23" t="str">
        <x:v>DEBT_DRAWDOWNS</x:v>
      </x:c>
      <x:c r="D276" s="23" t="str">
        <x:v>Disposiciones de deuda</x:v>
      </x:c>
      <x:c r="E276" s="24" t="n">
        <x:v>0</x:v>
      </x:c>
      <x:c r="F276" s="23" t="str">
        <x:v>Financiación</x:v>
      </x:c>
      <x:c r="G276" s="23" t="str">
        <x:v>Tesorería simulada</x:v>
      </x:c>
      <x:c r="H276" s="23" t="str">
        <x:v>Actual</x:v>
      </x:c>
    </x:row>
    <x:row r="277">
      <x:c r="A277" s="23" t="str">
        <x:v>2026-04</x:v>
      </x:c>
      <x:c r="B277" s="23" t="str">
        <x:v>2026-04-30</x:v>
      </x:c>
      <x:c r="C277" s="23" t="str">
        <x:v>DEBT_REPAYMENTS</x:v>
      </x:c>
      <x:c r="D277" s="23" t="str">
        <x:v>Amortizaciones de deuda</x:v>
      </x:c>
      <x:c r="E277" s="24" t="n">
        <x:v>0</x:v>
      </x:c>
      <x:c r="F277" s="23" t="str">
        <x:v>Financiación</x:v>
      </x:c>
      <x:c r="G277" s="23" t="str">
        <x:v>Tesorería simulada</x:v>
      </x:c>
      <x:c r="H277" s="23" t="str">
        <x:v>Actual</x:v>
      </x:c>
    </x:row>
    <x:row r="278">
      <x:c r="A278" s="23" t="str">
        <x:v>2026-04</x:v>
      </x:c>
      <x:c r="B278" s="23" t="str">
        <x:v>2026-04-30</x:v>
      </x:c>
      <x:c r="C278" s="23" t="str">
        <x:v>LEASE_PRINCIPAL</x:v>
      </x:c>
      <x:c r="D278" s="23" t="str">
        <x:v>Pagos de principal de arrendamientos</x:v>
      </x:c>
      <x:c r="E278" s="24" t="n">
        <x:v>25000</x:v>
      </x:c>
      <x:c r="F278" s="23" t="str">
        <x:v>Financiación</x:v>
      </x:c>
      <x:c r="G278" s="23" t="str">
        <x:v>Tesorería simulada</x:v>
      </x:c>
      <x:c r="H278" s="23" t="str">
        <x:v>Actual</x:v>
      </x:c>
    </x:row>
    <x:row r="279">
      <x:c r="A279" s="23" t="str">
        <x:v>2026-04</x:v>
      </x:c>
      <x:c r="B279" s="23" t="str">
        <x:v>2026-04-30</x:v>
      </x:c>
      <x:c r="C279" s="23" t="str">
        <x:v>DIVIDENDS</x:v>
      </x:c>
      <x:c r="D279" s="23" t="str">
        <x:v>Dividendos pagados</x:v>
      </x:c>
      <x:c r="E279" s="24" t="n">
        <x:v>0</x:v>
      </x:c>
      <x:c r="F279" s="23" t="str">
        <x:v>Financiación</x:v>
      </x:c>
      <x:c r="G279" s="23" t="str">
        <x:v>Tesorería simulada</x:v>
      </x:c>
      <x:c r="H279" s="23" t="str">
        <x:v>Actual</x:v>
      </x:c>
    </x:row>
    <x:row r="280">
      <x:c r="A280" s="23" t="str">
        <x:v>2026-04</x:v>
      </x:c>
      <x:c r="B280" s="23" t="str">
        <x:v>2026-04-30</x:v>
      </x:c>
      <x:c r="C280" s="23" t="str">
        <x:v>CAPITAL_CONTRIBUTIONS</x:v>
      </x:c>
      <x:c r="D280" s="23" t="str">
        <x:v>Aportaciones de capital</x:v>
      </x:c>
      <x:c r="E280" s="24" t="n">
        <x:v>0</x:v>
      </x:c>
      <x:c r="F280" s="23" t="str">
        <x:v>Financiación</x:v>
      </x:c>
      <x:c r="G280" s="23" t="str">
        <x:v>Tesorería simulada</x:v>
      </x:c>
      <x:c r="H280" s="23" t="str">
        <x:v>Actual</x:v>
      </x:c>
    </x:row>
    <x:row r="281">
      <x:c r="A281" s="23" t="str">
        <x:v>2026-04</x:v>
      </x:c>
      <x:c r="B281" s="23" t="str">
        <x:v>2026-04-30</x:v>
      </x:c>
      <x:c r="C281" s="23" t="str">
        <x:v>FX_OTHER</x:v>
      </x:c>
      <x:c r="D281" s="23" t="str">
        <x:v>Efecto de tipo de cambio y otros</x:v>
      </x:c>
      <x:c r="E281" s="24" t="n">
        <x:v>0</x:v>
      </x:c>
      <x:c r="F281" s="23" t="str">
        <x:v>Otros</x:v>
      </x:c>
      <x:c r="G281" s="23" t="str">
        <x:v>Tesorería simulada</x:v>
      </x:c>
      <x:c r="H281" s="23" t="str">
        <x:v>Actual</x:v>
      </x:c>
    </x:row>
    <x:row r="282">
      <x:c r="A282" s="23" t="str">
        <x:v>2026-05</x:v>
      </x:c>
      <x:c r="B282" s="23" t="str">
        <x:v>2026-05-31</x:v>
      </x:c>
      <x:c r="C282" s="23" t="str">
        <x:v>CAPEX</x:v>
      </x:c>
      <x:c r="D282" s="23" t="str">
        <x:v>Inversiones en inmovilizado material</x:v>
      </x:c>
      <x:c r="E282" s="24" t="n">
        <x:v>142283</x:v>
      </x:c>
      <x:c r="F282" s="23" t="str">
        <x:v>Inversión</x:v>
      </x:c>
      <x:c r="G282" s="23" t="str">
        <x:v>Tesorería simulada</x:v>
      </x:c>
      <x:c r="H282" s="23" t="str">
        <x:v>Actual</x:v>
      </x:c>
    </x:row>
    <x:row r="283">
      <x:c r="A283" s="23" t="str">
        <x:v>2026-05</x:v>
      </x:c>
      <x:c r="B283" s="23" t="str">
        <x:v>2026-05-31</x:v>
      </x:c>
      <x:c r="C283" s="23" t="str">
        <x:v>INTANGIBLE_ADDITIONS</x:v>
      </x:c>
      <x:c r="D283" s="23" t="str">
        <x:v>Altas de activos intangibles</x:v>
      </x:c>
      <x:c r="E283" s="24" t="n">
        <x:v>15000</x:v>
      </x:c>
      <x:c r="F283" s="23" t="str">
        <x:v>Inversión</x:v>
      </x:c>
      <x:c r="G283" s="23" t="str">
        <x:v>Tesorería simulada</x:v>
      </x:c>
      <x:c r="H283" s="23" t="str">
        <x:v>Actual</x:v>
      </x:c>
    </x:row>
    <x:row r="284">
      <x:c r="A284" s="23" t="str">
        <x:v>2026-05</x:v>
      </x:c>
      <x:c r="B284" s="23" t="str">
        <x:v>2026-05-31</x:v>
      </x:c>
      <x:c r="C284" s="23" t="str">
        <x:v>ASSET_SALE_PROCEEDS</x:v>
      </x:c>
      <x:c r="D284" s="23" t="str">
        <x:v>Cobros por venta de activos</x:v>
      </x:c>
      <x:c r="E284" s="24" t="n">
        <x:v>0</x:v>
      </x:c>
      <x:c r="F284" s="23" t="str">
        <x:v>Inversión</x:v>
      </x:c>
      <x:c r="G284" s="23" t="str">
        <x:v>Tesorería simulada</x:v>
      </x:c>
      <x:c r="H284" s="23" t="str">
        <x:v>Actual</x:v>
      </x:c>
    </x:row>
    <x:row r="285">
      <x:c r="A285" s="23" t="str">
        <x:v>2026-05</x:v>
      </x:c>
      <x:c r="B285" s="23" t="str">
        <x:v>2026-05-31</x:v>
      </x:c>
      <x:c r="C285" s="23" t="str">
        <x:v>ACQUISITIONS</x:v>
      </x:c>
      <x:c r="D285" s="23" t="str">
        <x:v>Adquisiciones e inversiones financieras</x:v>
      </x:c>
      <x:c r="E285" s="24" t="n">
        <x:v>0</x:v>
      </x:c>
      <x:c r="F285" s="23" t="str">
        <x:v>Inversión</x:v>
      </x:c>
      <x:c r="G285" s="23" t="str">
        <x:v>Tesorería simulada</x:v>
      </x:c>
      <x:c r="H285" s="23" t="str">
        <x:v>Actual</x:v>
      </x:c>
    </x:row>
    <x:row r="286">
      <x:c r="A286" s="23" t="str">
        <x:v>2026-05</x:v>
      </x:c>
      <x:c r="B286" s="23" t="str">
        <x:v>2026-05-31</x:v>
      </x:c>
      <x:c r="C286" s="23" t="str">
        <x:v>DEBT_DRAWDOWNS</x:v>
      </x:c>
      <x:c r="D286" s="23" t="str">
        <x:v>Disposiciones de deuda</x:v>
      </x:c>
      <x:c r="E286" s="24" t="n">
        <x:v>0</x:v>
      </x:c>
      <x:c r="F286" s="23" t="str">
        <x:v>Financiación</x:v>
      </x:c>
      <x:c r="G286" s="23" t="str">
        <x:v>Tesorería simulada</x:v>
      </x:c>
      <x:c r="H286" s="23" t="str">
        <x:v>Actual</x:v>
      </x:c>
    </x:row>
    <x:row r="287">
      <x:c r="A287" s="23" t="str">
        <x:v>2026-05</x:v>
      </x:c>
      <x:c r="B287" s="23" t="str">
        <x:v>2026-05-31</x:v>
      </x:c>
      <x:c r="C287" s="23" t="str">
        <x:v>DEBT_REPAYMENTS</x:v>
      </x:c>
      <x:c r="D287" s="23" t="str">
        <x:v>Amortizaciones de deuda</x:v>
      </x:c>
      <x:c r="E287" s="24" t="n">
        <x:v>0</x:v>
      </x:c>
      <x:c r="F287" s="23" t="str">
        <x:v>Financiación</x:v>
      </x:c>
      <x:c r="G287" s="23" t="str">
        <x:v>Tesorería simulada</x:v>
      </x:c>
      <x:c r="H287" s="23" t="str">
        <x:v>Actual</x:v>
      </x:c>
    </x:row>
    <x:row r="288">
      <x:c r="A288" s="23" t="str">
        <x:v>2026-05</x:v>
      </x:c>
      <x:c r="B288" s="23" t="str">
        <x:v>2026-05-31</x:v>
      </x:c>
      <x:c r="C288" s="23" t="str">
        <x:v>LEASE_PRINCIPAL</x:v>
      </x:c>
      <x:c r="D288" s="23" t="str">
        <x:v>Pagos de principal de arrendamientos</x:v>
      </x:c>
      <x:c r="E288" s="24" t="n">
        <x:v>25000</x:v>
      </x:c>
      <x:c r="F288" s="23" t="str">
        <x:v>Financiación</x:v>
      </x:c>
      <x:c r="G288" s="23" t="str">
        <x:v>Tesorería simulada</x:v>
      </x:c>
      <x:c r="H288" s="23" t="str">
        <x:v>Actual</x:v>
      </x:c>
    </x:row>
    <x:row r="289">
      <x:c r="A289" s="23" t="str">
        <x:v>2026-05</x:v>
      </x:c>
      <x:c r="B289" s="23" t="str">
        <x:v>2026-05-31</x:v>
      </x:c>
      <x:c r="C289" s="23" t="str">
        <x:v>DIVIDENDS</x:v>
      </x:c>
      <x:c r="D289" s="23" t="str">
        <x:v>Dividendos pagados</x:v>
      </x:c>
      <x:c r="E289" s="24" t="n">
        <x:v>0</x:v>
      </x:c>
      <x:c r="F289" s="23" t="str">
        <x:v>Financiación</x:v>
      </x:c>
      <x:c r="G289" s="23" t="str">
        <x:v>Tesorería simulada</x:v>
      </x:c>
      <x:c r="H289" s="23" t="str">
        <x:v>Actual</x:v>
      </x:c>
    </x:row>
    <x:row r="290">
      <x:c r="A290" s="23" t="str">
        <x:v>2026-05</x:v>
      </x:c>
      <x:c r="B290" s="23" t="str">
        <x:v>2026-05-31</x:v>
      </x:c>
      <x:c r="C290" s="23" t="str">
        <x:v>CAPITAL_CONTRIBUTIONS</x:v>
      </x:c>
      <x:c r="D290" s="23" t="str">
        <x:v>Aportaciones de capital</x:v>
      </x:c>
      <x:c r="E290" s="24" t="n">
        <x:v>0</x:v>
      </x:c>
      <x:c r="F290" s="23" t="str">
        <x:v>Financiación</x:v>
      </x:c>
      <x:c r="G290" s="23" t="str">
        <x:v>Tesorería simulada</x:v>
      </x:c>
      <x:c r="H290" s="23" t="str">
        <x:v>Actual</x:v>
      </x:c>
    </x:row>
    <x:row r="291">
      <x:c r="A291" s="23" t="str">
        <x:v>2026-05</x:v>
      </x:c>
      <x:c r="B291" s="23" t="str">
        <x:v>2026-05-31</x:v>
      </x:c>
      <x:c r="C291" s="23" t="str">
        <x:v>FX_OTHER</x:v>
      </x:c>
      <x:c r="D291" s="23" t="str">
        <x:v>Efecto de tipo de cambio y otros</x:v>
      </x:c>
      <x:c r="E291" s="24" t="n">
        <x:v>0</x:v>
      </x:c>
      <x:c r="F291" s="23" t="str">
        <x:v>Otros</x:v>
      </x:c>
      <x:c r="G291" s="23" t="str">
        <x:v>Tesorería simulada</x:v>
      </x:c>
      <x:c r="H291" s="23" t="str">
        <x:v>Actual</x:v>
      </x:c>
    </x:row>
    <x:row r="292">
      <x:c r="A292" s="23" t="str">
        <x:v>2026-06</x:v>
      </x:c>
      <x:c r="B292" s="23" t="str">
        <x:v>2026-06-30</x:v>
      </x:c>
      <x:c r="C292" s="23" t="str">
        <x:v>CAPEX</x:v>
      </x:c>
      <x:c r="D292" s="23" t="str">
        <x:v>Inversiones en inmovilizado material</x:v>
      </x:c>
      <x:c r="E292" s="24" t="n">
        <x:v>134012</x:v>
      </x:c>
      <x:c r="F292" s="23" t="str">
        <x:v>Inversión</x:v>
      </x:c>
      <x:c r="G292" s="23" t="str">
        <x:v>Tesorería simulada</x:v>
      </x:c>
      <x:c r="H292" s="23" t="str">
        <x:v>Actual</x:v>
      </x:c>
    </x:row>
    <x:row r="293">
      <x:c r="A293" s="23" t="str">
        <x:v>2026-06</x:v>
      </x:c>
      <x:c r="B293" s="23" t="str">
        <x:v>2026-06-30</x:v>
      </x:c>
      <x:c r="C293" s="23" t="str">
        <x:v>INTANGIBLE_ADDITIONS</x:v>
      </x:c>
      <x:c r="D293" s="23" t="str">
        <x:v>Altas de activos intangibles</x:v>
      </x:c>
      <x:c r="E293" s="24" t="n">
        <x:v>45000</x:v>
      </x:c>
      <x:c r="F293" s="23" t="str">
        <x:v>Inversión</x:v>
      </x:c>
      <x:c r="G293" s="23" t="str">
        <x:v>Tesorería simulada</x:v>
      </x:c>
      <x:c r="H293" s="23" t="str">
        <x:v>Actual</x:v>
      </x:c>
    </x:row>
    <x:row r="294">
      <x:c r="A294" s="23" t="str">
        <x:v>2026-06</x:v>
      </x:c>
      <x:c r="B294" s="23" t="str">
        <x:v>2026-06-30</x:v>
      </x:c>
      <x:c r="C294" s="23" t="str">
        <x:v>ASSET_SALE_PROCEEDS</x:v>
      </x:c>
      <x:c r="D294" s="23" t="str">
        <x:v>Cobros por venta de activos</x:v>
      </x:c>
      <x:c r="E294" s="24" t="n">
        <x:v>0</x:v>
      </x:c>
      <x:c r="F294" s="23" t="str">
        <x:v>Inversión</x:v>
      </x:c>
      <x:c r="G294" s="23" t="str">
        <x:v>Tesorería simulada</x:v>
      </x:c>
      <x:c r="H294" s="23" t="str">
        <x:v>Actual</x:v>
      </x:c>
    </x:row>
    <x:row r="295">
      <x:c r="A295" s="23" t="str">
        <x:v>2026-06</x:v>
      </x:c>
      <x:c r="B295" s="23" t="str">
        <x:v>2026-06-30</x:v>
      </x:c>
      <x:c r="C295" s="23" t="str">
        <x:v>ACQUISITIONS</x:v>
      </x:c>
      <x:c r="D295" s="23" t="str">
        <x:v>Adquisiciones e inversiones financieras</x:v>
      </x:c>
      <x:c r="E295" s="24" t="n">
        <x:v>0</x:v>
      </x:c>
      <x:c r="F295" s="23" t="str">
        <x:v>Inversión</x:v>
      </x:c>
      <x:c r="G295" s="23" t="str">
        <x:v>Tesorería simulada</x:v>
      </x:c>
      <x:c r="H295" s="23" t="str">
        <x:v>Actual</x:v>
      </x:c>
    </x:row>
    <x:row r="296">
      <x:c r="A296" s="23" t="str">
        <x:v>2026-06</x:v>
      </x:c>
      <x:c r="B296" s="23" t="str">
        <x:v>2026-06-30</x:v>
      </x:c>
      <x:c r="C296" s="23" t="str">
        <x:v>DEBT_DRAWDOWNS</x:v>
      </x:c>
      <x:c r="D296" s="23" t="str">
        <x:v>Disposiciones de deuda</x:v>
      </x:c>
      <x:c r="E296" s="24" t="n">
        <x:v>0</x:v>
      </x:c>
      <x:c r="F296" s="23" t="str">
        <x:v>Financiación</x:v>
      </x:c>
      <x:c r="G296" s="23" t="str">
        <x:v>Tesorería simulada</x:v>
      </x:c>
      <x:c r="H296" s="23" t="str">
        <x:v>Actual</x:v>
      </x:c>
    </x:row>
    <x:row r="297">
      <x:c r="A297" s="23" t="str">
        <x:v>2026-06</x:v>
      </x:c>
      <x:c r="B297" s="23" t="str">
        <x:v>2026-06-30</x:v>
      </x:c>
      <x:c r="C297" s="23" t="str">
        <x:v>DEBT_REPAYMENTS</x:v>
      </x:c>
      <x:c r="D297" s="23" t="str">
        <x:v>Amortizaciones de deuda</x:v>
      </x:c>
      <x:c r="E297" s="24" t="n">
        <x:v>125000</x:v>
      </x:c>
      <x:c r="F297" s="23" t="str">
        <x:v>Financiación</x:v>
      </x:c>
      <x:c r="G297" s="23" t="str">
        <x:v>Tesorería simulada</x:v>
      </x:c>
      <x:c r="H297" s="23" t="str">
        <x:v>Actual</x:v>
      </x:c>
    </x:row>
    <x:row r="298">
      <x:c r="A298" s="23" t="str">
        <x:v>2026-06</x:v>
      </x:c>
      <x:c r="B298" s="23" t="str">
        <x:v>2026-06-30</x:v>
      </x:c>
      <x:c r="C298" s="23" t="str">
        <x:v>LEASE_PRINCIPAL</x:v>
      </x:c>
      <x:c r="D298" s="23" t="str">
        <x:v>Pagos de principal de arrendamientos</x:v>
      </x:c>
      <x:c r="E298" s="24" t="n">
        <x:v>25000</x:v>
      </x:c>
      <x:c r="F298" s="23" t="str">
        <x:v>Financiación</x:v>
      </x:c>
      <x:c r="G298" s="23" t="str">
        <x:v>Tesorería simulada</x:v>
      </x:c>
      <x:c r="H298" s="23" t="str">
        <x:v>Actual</x:v>
      </x:c>
    </x:row>
    <x:row r="299">
      <x:c r="A299" s="23" t="str">
        <x:v>2026-06</x:v>
      </x:c>
      <x:c r="B299" s="23" t="str">
        <x:v>2026-06-30</x:v>
      </x:c>
      <x:c r="C299" s="23" t="str">
        <x:v>DIVIDENDS</x:v>
      </x:c>
      <x:c r="D299" s="23" t="str">
        <x:v>Dividendos pagados</x:v>
      </x:c>
      <x:c r="E299" s="24" t="n">
        <x:v>0</x:v>
      </x:c>
      <x:c r="F299" s="23" t="str">
        <x:v>Financiación</x:v>
      </x:c>
      <x:c r="G299" s="23" t="str">
        <x:v>Tesorería simulada</x:v>
      </x:c>
      <x:c r="H299" s="23" t="str">
        <x:v>Actual</x:v>
      </x:c>
    </x:row>
    <x:row r="300">
      <x:c r="A300" s="23" t="str">
        <x:v>2026-06</x:v>
      </x:c>
      <x:c r="B300" s="23" t="str">
        <x:v>2026-06-30</x:v>
      </x:c>
      <x:c r="C300" s="23" t="str">
        <x:v>CAPITAL_CONTRIBUTIONS</x:v>
      </x:c>
      <x:c r="D300" s="23" t="str">
        <x:v>Aportaciones de capital</x:v>
      </x:c>
      <x:c r="E300" s="24" t="n">
        <x:v>0</x:v>
      </x:c>
      <x:c r="F300" s="23" t="str">
        <x:v>Financiación</x:v>
      </x:c>
      <x:c r="G300" s="23" t="str">
        <x:v>Tesorería simulada</x:v>
      </x:c>
      <x:c r="H300" s="23" t="str">
        <x:v>Actual</x:v>
      </x:c>
    </x:row>
    <x:row r="301">
      <x:c r="A301" s="23" t="str">
        <x:v>2026-06</x:v>
      </x:c>
      <x:c r="B301" s="23" t="str">
        <x:v>2026-06-30</x:v>
      </x:c>
      <x:c r="C301" s="23" t="str">
        <x:v>FX_OTHER</x:v>
      </x:c>
      <x:c r="D301" s="23" t="str">
        <x:v>Efecto de tipo de cambio y otros</x:v>
      </x:c>
      <x:c r="E301" s="24" t="n">
        <x:v>0</x:v>
      </x:c>
      <x:c r="F301" s="23" t="str">
        <x:v>Otros</x:v>
      </x:c>
      <x:c r="G301" s="23" t="str">
        <x:v>Tesorería simulada</x:v>
      </x:c>
      <x:c r="H301" s="23" t="str">
        <x:v>Actual</x:v>
      </x:c>
    </x:row>
    <x:row r="302">
      <x:c r="A302" s="23" t="str">
        <x:v>2026-07</x:v>
      </x:c>
      <x:c r="B302" s="23" t="str">
        <x:v>2026-07-31</x:v>
      </x:c>
      <x:c r="C302" s="23" t="str">
        <x:v>CAPEX</x:v>
      </x:c>
      <x:c r="D302" s="23" t="str">
        <x:v>Inversiones en inmovilizado material</x:v>
      </x:c>
      <x:c r="E302" s="24" t="n">
        <x:v>126399</x:v>
      </x:c>
      <x:c r="F302" s="23" t="str">
        <x:v>Inversión</x:v>
      </x:c>
      <x:c r="G302" s="23" t="str">
        <x:v>Tesorería simulada</x:v>
      </x:c>
      <x:c r="H302" s="23" t="str">
        <x:v>Actual</x:v>
      </x:c>
    </x:row>
    <x:row r="303">
      <x:c r="A303" s="23" t="str">
        <x:v>2026-07</x:v>
      </x:c>
      <x:c r="B303" s="23" t="str">
        <x:v>2026-07-31</x:v>
      </x:c>
      <x:c r="C303" s="23" t="str">
        <x:v>INTANGIBLE_ADDITIONS</x:v>
      </x:c>
      <x:c r="D303" s="23" t="str">
        <x:v>Altas de activos intangibles</x:v>
      </x:c>
      <x:c r="E303" s="24" t="n">
        <x:v>15000</x:v>
      </x:c>
      <x:c r="F303" s="23" t="str">
        <x:v>Inversión</x:v>
      </x:c>
      <x:c r="G303" s="23" t="str">
        <x:v>Tesorería simulada</x:v>
      </x:c>
      <x:c r="H303" s="23" t="str">
        <x:v>Actual</x:v>
      </x:c>
    </x:row>
    <x:row r="304">
      <x:c r="A304" s="23" t="str">
        <x:v>2026-07</x:v>
      </x:c>
      <x:c r="B304" s="23" t="str">
        <x:v>2026-07-31</x:v>
      </x:c>
      <x:c r="C304" s="23" t="str">
        <x:v>ASSET_SALE_PROCEEDS</x:v>
      </x:c>
      <x:c r="D304" s="23" t="str">
        <x:v>Cobros por venta de activos</x:v>
      </x:c>
      <x:c r="E304" s="24" t="n">
        <x:v>0</x:v>
      </x:c>
      <x:c r="F304" s="23" t="str">
        <x:v>Inversión</x:v>
      </x:c>
      <x:c r="G304" s="23" t="str">
        <x:v>Tesorería simulada</x:v>
      </x:c>
      <x:c r="H304" s="23" t="str">
        <x:v>Actual</x:v>
      </x:c>
    </x:row>
    <x:row r="305">
      <x:c r="A305" s="23" t="str">
        <x:v>2026-07</x:v>
      </x:c>
      <x:c r="B305" s="23" t="str">
        <x:v>2026-07-31</x:v>
      </x:c>
      <x:c r="C305" s="23" t="str">
        <x:v>ACQUISITIONS</x:v>
      </x:c>
      <x:c r="D305" s="23" t="str">
        <x:v>Adquisiciones e inversiones financieras</x:v>
      </x:c>
      <x:c r="E305" s="24" t="n">
        <x:v>0</x:v>
      </x:c>
      <x:c r="F305" s="23" t="str">
        <x:v>Inversión</x:v>
      </x:c>
      <x:c r="G305" s="23" t="str">
        <x:v>Tesorería simulada</x:v>
      </x:c>
      <x:c r="H305" s="23" t="str">
        <x:v>Actual</x:v>
      </x:c>
    </x:row>
    <x:row r="306">
      <x:c r="A306" s="23" t="str">
        <x:v>2026-07</x:v>
      </x:c>
      <x:c r="B306" s="23" t="str">
        <x:v>2026-07-31</x:v>
      </x:c>
      <x:c r="C306" s="23" t="str">
        <x:v>DEBT_DRAWDOWNS</x:v>
      </x:c>
      <x:c r="D306" s="23" t="str">
        <x:v>Disposiciones de deuda</x:v>
      </x:c>
      <x:c r="E306" s="24" t="n">
        <x:v>0</x:v>
      </x:c>
      <x:c r="F306" s="23" t="str">
        <x:v>Financiación</x:v>
      </x:c>
      <x:c r="G306" s="23" t="str">
        <x:v>Tesorería simulada</x:v>
      </x:c>
      <x:c r="H306" s="23" t="str">
        <x:v>Actual</x:v>
      </x:c>
    </x:row>
    <x:row r="307">
      <x:c r="A307" s="23" t="str">
        <x:v>2026-07</x:v>
      </x:c>
      <x:c r="B307" s="23" t="str">
        <x:v>2026-07-31</x:v>
      </x:c>
      <x:c r="C307" s="23" t="str">
        <x:v>DEBT_REPAYMENTS</x:v>
      </x:c>
      <x:c r="D307" s="23" t="str">
        <x:v>Amortizaciones de deuda</x:v>
      </x:c>
      <x:c r="E307" s="24" t="n">
        <x:v>0</x:v>
      </x:c>
      <x:c r="F307" s="23" t="str">
        <x:v>Financiación</x:v>
      </x:c>
      <x:c r="G307" s="23" t="str">
        <x:v>Tesorería simulada</x:v>
      </x:c>
      <x:c r="H307" s="23" t="str">
        <x:v>Actual</x:v>
      </x:c>
    </x:row>
    <x:row r="308">
      <x:c r="A308" s="23" t="str">
        <x:v>2026-07</x:v>
      </x:c>
      <x:c r="B308" s="23" t="str">
        <x:v>2026-07-31</x:v>
      </x:c>
      <x:c r="C308" s="23" t="str">
        <x:v>LEASE_PRINCIPAL</x:v>
      </x:c>
      <x:c r="D308" s="23" t="str">
        <x:v>Pagos de principal de arrendamientos</x:v>
      </x:c>
      <x:c r="E308" s="24" t="n">
        <x:v>25000</x:v>
      </x:c>
      <x:c r="F308" s="23" t="str">
        <x:v>Financiación</x:v>
      </x:c>
      <x:c r="G308" s="23" t="str">
        <x:v>Tesorería simulada</x:v>
      </x:c>
      <x:c r="H308" s="23" t="str">
        <x:v>Actual</x:v>
      </x:c>
    </x:row>
    <x:row r="309">
      <x:c r="A309" s="23" t="str">
        <x:v>2026-07</x:v>
      </x:c>
      <x:c r="B309" s="23" t="str">
        <x:v>2026-07-31</x:v>
      </x:c>
      <x:c r="C309" s="23" t="str">
        <x:v>DIVIDENDS</x:v>
      </x:c>
      <x:c r="D309" s="23" t="str">
        <x:v>Dividendos pagados</x:v>
      </x:c>
      <x:c r="E309" s="24" t="n">
        <x:v>0</x:v>
      </x:c>
      <x:c r="F309" s="23" t="str">
        <x:v>Financiación</x:v>
      </x:c>
      <x:c r="G309" s="23" t="str">
        <x:v>Tesorería simulada</x:v>
      </x:c>
      <x:c r="H309" s="23" t="str">
        <x:v>Actual</x:v>
      </x:c>
    </x:row>
    <x:row r="310">
      <x:c r="A310" s="23" t="str">
        <x:v>2026-07</x:v>
      </x:c>
      <x:c r="B310" s="23" t="str">
        <x:v>2026-07-31</x:v>
      </x:c>
      <x:c r="C310" s="23" t="str">
        <x:v>CAPITAL_CONTRIBUTIONS</x:v>
      </x:c>
      <x:c r="D310" s="23" t="str">
        <x:v>Aportaciones de capital</x:v>
      </x:c>
      <x:c r="E310" s="24" t="n">
        <x:v>0</x:v>
      </x:c>
      <x:c r="F310" s="23" t="str">
        <x:v>Financiación</x:v>
      </x:c>
      <x:c r="G310" s="23" t="str">
        <x:v>Tesorería simulada</x:v>
      </x:c>
      <x:c r="H310" s="23" t="str">
        <x:v>Actual</x:v>
      </x:c>
    </x:row>
    <x:row r="311">
      <x:c r="A311" s="23" t="str">
        <x:v>2026-07</x:v>
      </x:c>
      <x:c r="B311" s="23" t="str">
        <x:v>2026-07-31</x:v>
      </x:c>
      <x:c r="C311" s="23" t="str">
        <x:v>FX_OTHER</x:v>
      </x:c>
      <x:c r="D311" s="23" t="str">
        <x:v>Efecto de tipo de cambio y otros</x:v>
      </x:c>
      <x:c r="E311" s="24" t="n">
        <x:v>0</x:v>
      </x:c>
      <x:c r="F311" s="23" t="str">
        <x:v>Otros</x:v>
      </x:c>
      <x:c r="G311" s="23" t="str">
        <x:v>Tesorería simulada</x:v>
      </x:c>
      <x:c r="H311" s="23" t="str">
        <x:v>Actual</x:v>
      </x:c>
    </x:row>
    <x:row r="312">
      <x:c r="A312" s="23" t="str">
        <x:v>2026-08</x:v>
      </x:c>
      <x:c r="B312" s="23" t="str">
        <x:v>2026-08-31</x:v>
      </x:c>
      <x:c r="C312" s="23" t="str">
        <x:v>CAPEX</x:v>
      </x:c>
      <x:c r="D312" s="23" t="str">
        <x:v>Inversiones en inmovilizado material</x:v>
      </x:c>
      <x:c r="E312" s="24" t="n">
        <x:v>120285</x:v>
      </x:c>
      <x:c r="F312" s="23" t="str">
        <x:v>Inversión</x:v>
      </x:c>
      <x:c r="G312" s="23" t="str">
        <x:v>Tesorería simulada</x:v>
      </x:c>
      <x:c r="H312" s="23" t="str">
        <x:v>Actual</x:v>
      </x:c>
    </x:row>
    <x:row r="313">
      <x:c r="A313" s="23" t="str">
        <x:v>2026-08</x:v>
      </x:c>
      <x:c r="B313" s="23" t="str">
        <x:v>2026-08-31</x:v>
      </x:c>
      <x:c r="C313" s="23" t="str">
        <x:v>INTANGIBLE_ADDITIONS</x:v>
      </x:c>
      <x:c r="D313" s="23" t="str">
        <x:v>Altas de activos intangibles</x:v>
      </x:c>
      <x:c r="E313" s="24" t="n">
        <x:v>15000</x:v>
      </x:c>
      <x:c r="F313" s="23" t="str">
        <x:v>Inversión</x:v>
      </x:c>
      <x:c r="G313" s="23" t="str">
        <x:v>Tesorería simulada</x:v>
      </x:c>
      <x:c r="H313" s="23" t="str">
        <x:v>Actual</x:v>
      </x:c>
    </x:row>
    <x:row r="314">
      <x:c r="A314" s="23" t="str">
        <x:v>2026-08</x:v>
      </x:c>
      <x:c r="B314" s="23" t="str">
        <x:v>2026-08-31</x:v>
      </x:c>
      <x:c r="C314" s="23" t="str">
        <x:v>ASSET_SALE_PROCEEDS</x:v>
      </x:c>
      <x:c r="D314" s="23" t="str">
        <x:v>Cobros por venta de activos</x:v>
      </x:c>
      <x:c r="E314" s="24" t="n">
        <x:v>0</x:v>
      </x:c>
      <x:c r="F314" s="23" t="str">
        <x:v>Inversión</x:v>
      </x:c>
      <x:c r="G314" s="23" t="str">
        <x:v>Tesorería simulada</x:v>
      </x:c>
      <x:c r="H314" s="23" t="str">
        <x:v>Actual</x:v>
      </x:c>
    </x:row>
    <x:row r="315">
      <x:c r="A315" s="23" t="str">
        <x:v>2026-08</x:v>
      </x:c>
      <x:c r="B315" s="23" t="str">
        <x:v>2026-08-31</x:v>
      </x:c>
      <x:c r="C315" s="23" t="str">
        <x:v>ACQUISITIONS</x:v>
      </x:c>
      <x:c r="D315" s="23" t="str">
        <x:v>Adquisiciones e inversiones financieras</x:v>
      </x:c>
      <x:c r="E315" s="24" t="n">
        <x:v>0</x:v>
      </x:c>
      <x:c r="F315" s="23" t="str">
        <x:v>Inversión</x:v>
      </x:c>
      <x:c r="G315" s="23" t="str">
        <x:v>Tesorería simulada</x:v>
      </x:c>
      <x:c r="H315" s="23" t="str">
        <x:v>Actual</x:v>
      </x:c>
    </x:row>
    <x:row r="316">
      <x:c r="A316" s="23" t="str">
        <x:v>2026-08</x:v>
      </x:c>
      <x:c r="B316" s="23" t="str">
        <x:v>2026-08-31</x:v>
      </x:c>
      <x:c r="C316" s="23" t="str">
        <x:v>DEBT_DRAWDOWNS</x:v>
      </x:c>
      <x:c r="D316" s="23" t="str">
        <x:v>Disposiciones de deuda</x:v>
      </x:c>
      <x:c r="E316" s="24" t="n">
        <x:v>0</x:v>
      </x:c>
      <x:c r="F316" s="23" t="str">
        <x:v>Financiación</x:v>
      </x:c>
      <x:c r="G316" s="23" t="str">
        <x:v>Tesorería simulada</x:v>
      </x:c>
      <x:c r="H316" s="23" t="str">
        <x:v>Actual</x:v>
      </x:c>
    </x:row>
    <x:row r="317">
      <x:c r="A317" s="23" t="str">
        <x:v>2026-08</x:v>
      </x:c>
      <x:c r="B317" s="23" t="str">
        <x:v>2026-08-31</x:v>
      </x:c>
      <x:c r="C317" s="23" t="str">
        <x:v>DEBT_REPAYMENTS</x:v>
      </x:c>
      <x:c r="D317" s="23" t="str">
        <x:v>Amortizaciones de deuda</x:v>
      </x:c>
      <x:c r="E317" s="24" t="n">
        <x:v>0</x:v>
      </x:c>
      <x:c r="F317" s="23" t="str">
        <x:v>Financiación</x:v>
      </x:c>
      <x:c r="G317" s="23" t="str">
        <x:v>Tesorería simulada</x:v>
      </x:c>
      <x:c r="H317" s="23" t="str">
        <x:v>Actual</x:v>
      </x:c>
    </x:row>
    <x:row r="318">
      <x:c r="A318" s="23" t="str">
        <x:v>2026-08</x:v>
      </x:c>
      <x:c r="B318" s="23" t="str">
        <x:v>2026-08-31</x:v>
      </x:c>
      <x:c r="C318" s="23" t="str">
        <x:v>LEASE_PRINCIPAL</x:v>
      </x:c>
      <x:c r="D318" s="23" t="str">
        <x:v>Pagos de principal de arrendamientos</x:v>
      </x:c>
      <x:c r="E318" s="24" t="n">
        <x:v>25000</x:v>
      </x:c>
      <x:c r="F318" s="23" t="str">
        <x:v>Financiación</x:v>
      </x:c>
      <x:c r="G318" s="23" t="str">
        <x:v>Tesorería simulada</x:v>
      </x:c>
      <x:c r="H318" s="23" t="str">
        <x:v>Actual</x:v>
      </x:c>
    </x:row>
    <x:row r="319">
      <x:c r="A319" s="23" t="str">
        <x:v>2026-08</x:v>
      </x:c>
      <x:c r="B319" s="23" t="str">
        <x:v>2026-08-31</x:v>
      </x:c>
      <x:c r="C319" s="23" t="str">
        <x:v>DIVIDENDS</x:v>
      </x:c>
      <x:c r="D319" s="23" t="str">
        <x:v>Dividendos pagados</x:v>
      </x:c>
      <x:c r="E319" s="24" t="n">
        <x:v>0</x:v>
      </x:c>
      <x:c r="F319" s="23" t="str">
        <x:v>Financiación</x:v>
      </x:c>
      <x:c r="G319" s="23" t="str">
        <x:v>Tesorería simulada</x:v>
      </x:c>
      <x:c r="H319" s="23" t="str">
        <x:v>Actual</x:v>
      </x:c>
    </x:row>
    <x:row r="320">
      <x:c r="A320" s="23" t="str">
        <x:v>2026-08</x:v>
      </x:c>
      <x:c r="B320" s="23" t="str">
        <x:v>2026-08-31</x:v>
      </x:c>
      <x:c r="C320" s="23" t="str">
        <x:v>CAPITAL_CONTRIBUTIONS</x:v>
      </x:c>
      <x:c r="D320" s="23" t="str">
        <x:v>Aportaciones de capital</x:v>
      </x:c>
      <x:c r="E320" s="24" t="n">
        <x:v>0</x:v>
      </x:c>
      <x:c r="F320" s="23" t="str">
        <x:v>Financiación</x:v>
      </x:c>
      <x:c r="G320" s="23" t="str">
        <x:v>Tesorería simulada</x:v>
      </x:c>
      <x:c r="H320" s="23" t="str">
        <x:v>Actual</x:v>
      </x:c>
    </x:row>
    <x:row r="321">
      <x:c r="A321" s="23" t="str">
        <x:v>2026-08</x:v>
      </x:c>
      <x:c r="B321" s="23" t="str">
        <x:v>2026-08-31</x:v>
      </x:c>
      <x:c r="C321" s="23" t="str">
        <x:v>FX_OTHER</x:v>
      </x:c>
      <x:c r="D321" s="23" t="str">
        <x:v>Efecto de tipo de cambio y otros</x:v>
      </x:c>
      <x:c r="E321" s="24" t="n">
        <x:v>0</x:v>
      </x:c>
      <x:c r="F321" s="23" t="str">
        <x:v>Otros</x:v>
      </x:c>
      <x:c r="G321" s="23" t="str">
        <x:v>Tesorería simulada</x:v>
      </x:c>
      <x:c r="H321" s="23" t="str">
        <x:v>Actual</x:v>
      </x:c>
    </x:row>
    <x:row r="322">
      <x:c r="A322" s="23" t="str">
        <x:v>2026-09</x:v>
      </x:c>
      <x:c r="B322" s="23" t="str">
        <x:v>2026-09-30</x:v>
      </x:c>
      <x:c r="C322" s="23" t="str">
        <x:v>CAPEX</x:v>
      </x:c>
      <x:c r="D322" s="23" t="str">
        <x:v>Inversiones en inmovilizado material</x:v>
      </x:c>
      <x:c r="E322" s="24" t="n">
        <x:v>636340</x:v>
      </x:c>
      <x:c r="F322" s="23" t="str">
        <x:v>Inversión</x:v>
      </x:c>
      <x:c r="G322" s="23" t="str">
        <x:v>Tesorería simulada</x:v>
      </x:c>
      <x:c r="H322" s="23" t="str">
        <x:v>Actual</x:v>
      </x:c>
    </x:row>
    <x:row r="323">
      <x:c r="A323" s="23" t="str">
        <x:v>2026-09</x:v>
      </x:c>
      <x:c r="B323" s="23" t="str">
        <x:v>2026-09-30</x:v>
      </x:c>
      <x:c r="C323" s="23" t="str">
        <x:v>INTANGIBLE_ADDITIONS</x:v>
      </x:c>
      <x:c r="D323" s="23" t="str">
        <x:v>Altas de activos intangibles</x:v>
      </x:c>
      <x:c r="E323" s="24" t="n">
        <x:v>45000</x:v>
      </x:c>
      <x:c r="F323" s="23" t="str">
        <x:v>Inversión</x:v>
      </x:c>
      <x:c r="G323" s="23" t="str">
        <x:v>Tesorería simulada</x:v>
      </x:c>
      <x:c r="H323" s="23" t="str">
        <x:v>Actual</x:v>
      </x:c>
    </x:row>
    <x:row r="324">
      <x:c r="A324" s="23" t="str">
        <x:v>2026-09</x:v>
      </x:c>
      <x:c r="B324" s="23" t="str">
        <x:v>2026-09-30</x:v>
      </x:c>
      <x:c r="C324" s="23" t="str">
        <x:v>ASSET_SALE_PROCEEDS</x:v>
      </x:c>
      <x:c r="D324" s="23" t="str">
        <x:v>Cobros por venta de activos</x:v>
      </x:c>
      <x:c r="E324" s="24" t="n">
        <x:v>0</x:v>
      </x:c>
      <x:c r="F324" s="23" t="str">
        <x:v>Inversión</x:v>
      </x:c>
      <x:c r="G324" s="23" t="str">
        <x:v>Tesorería simulada</x:v>
      </x:c>
      <x:c r="H324" s="23" t="str">
        <x:v>Actual</x:v>
      </x:c>
    </x:row>
    <x:row r="325">
      <x:c r="A325" s="23" t="str">
        <x:v>2026-09</x:v>
      </x:c>
      <x:c r="B325" s="23" t="str">
        <x:v>2026-09-30</x:v>
      </x:c>
      <x:c r="C325" s="23" t="str">
        <x:v>ACQUISITIONS</x:v>
      </x:c>
      <x:c r="D325" s="23" t="str">
        <x:v>Adquisiciones e inversiones financieras</x:v>
      </x:c>
      <x:c r="E325" s="24" t="n">
        <x:v>0</x:v>
      </x:c>
      <x:c r="F325" s="23" t="str">
        <x:v>Inversión</x:v>
      </x:c>
      <x:c r="G325" s="23" t="str">
        <x:v>Tesorería simulada</x:v>
      </x:c>
      <x:c r="H325" s="23" t="str">
        <x:v>Actual</x:v>
      </x:c>
    </x:row>
    <x:row r="326">
      <x:c r="A326" s="23" t="str">
        <x:v>2026-09</x:v>
      </x:c>
      <x:c r="B326" s="23" t="str">
        <x:v>2026-09-30</x:v>
      </x:c>
      <x:c r="C326" s="23" t="str">
        <x:v>DEBT_DRAWDOWNS</x:v>
      </x:c>
      <x:c r="D326" s="23" t="str">
        <x:v>Disposiciones de deuda</x:v>
      </x:c>
      <x:c r="E326" s="24" t="n">
        <x:v>0</x:v>
      </x:c>
      <x:c r="F326" s="23" t="str">
        <x:v>Financiación</x:v>
      </x:c>
      <x:c r="G326" s="23" t="str">
        <x:v>Tesorería simulada</x:v>
      </x:c>
      <x:c r="H326" s="23" t="str">
        <x:v>Actual</x:v>
      </x:c>
    </x:row>
    <x:row r="327">
      <x:c r="A327" s="23" t="str">
        <x:v>2026-09</x:v>
      </x:c>
      <x:c r="B327" s="23" t="str">
        <x:v>2026-09-30</x:v>
      </x:c>
      <x:c r="C327" s="23" t="str">
        <x:v>DEBT_REPAYMENTS</x:v>
      </x:c>
      <x:c r="D327" s="23" t="str">
        <x:v>Amortizaciones de deuda</x:v>
      </x:c>
      <x:c r="E327" s="24" t="n">
        <x:v>125000</x:v>
      </x:c>
      <x:c r="F327" s="23" t="str">
        <x:v>Financiación</x:v>
      </x:c>
      <x:c r="G327" s="23" t="str">
        <x:v>Tesorería simulada</x:v>
      </x:c>
      <x:c r="H327" s="23" t="str">
        <x:v>Actual</x:v>
      </x:c>
    </x:row>
    <x:row r="328">
      <x:c r="A328" s="23" t="str">
        <x:v>2026-09</x:v>
      </x:c>
      <x:c r="B328" s="23" t="str">
        <x:v>2026-09-30</x:v>
      </x:c>
      <x:c r="C328" s="23" t="str">
        <x:v>LEASE_PRINCIPAL</x:v>
      </x:c>
      <x:c r="D328" s="23" t="str">
        <x:v>Pagos de principal de arrendamientos</x:v>
      </x:c>
      <x:c r="E328" s="24" t="n">
        <x:v>25000</x:v>
      </x:c>
      <x:c r="F328" s="23" t="str">
        <x:v>Financiación</x:v>
      </x:c>
      <x:c r="G328" s="23" t="str">
        <x:v>Tesorería simulada</x:v>
      </x:c>
      <x:c r="H328" s="23" t="str">
        <x:v>Actual</x:v>
      </x:c>
    </x:row>
    <x:row r="329">
      <x:c r="A329" s="23" t="str">
        <x:v>2026-09</x:v>
      </x:c>
      <x:c r="B329" s="23" t="str">
        <x:v>2026-09-30</x:v>
      </x:c>
      <x:c r="C329" s="23" t="str">
        <x:v>DIVIDENDS</x:v>
      </x:c>
      <x:c r="D329" s="23" t="str">
        <x:v>Dividendos pagados</x:v>
      </x:c>
      <x:c r="E329" s="24" t="n">
        <x:v>0</x:v>
      </x:c>
      <x:c r="F329" s="23" t="str">
        <x:v>Financiación</x:v>
      </x:c>
      <x:c r="G329" s="23" t="str">
        <x:v>Tesorería simulada</x:v>
      </x:c>
      <x:c r="H329" s="23" t="str">
        <x:v>Actual</x:v>
      </x:c>
    </x:row>
    <x:row r="330">
      <x:c r="A330" s="23" t="str">
        <x:v>2026-09</x:v>
      </x:c>
      <x:c r="B330" s="23" t="str">
        <x:v>2026-09-30</x:v>
      </x:c>
      <x:c r="C330" s="23" t="str">
        <x:v>CAPITAL_CONTRIBUTIONS</x:v>
      </x:c>
      <x:c r="D330" s="23" t="str">
        <x:v>Aportaciones de capital</x:v>
      </x:c>
      <x:c r="E330" s="24" t="n">
        <x:v>0</x:v>
      </x:c>
      <x:c r="F330" s="23" t="str">
        <x:v>Financiación</x:v>
      </x:c>
      <x:c r="G330" s="23" t="str">
        <x:v>Tesorería simulada</x:v>
      </x:c>
      <x:c r="H330" s="23" t="str">
        <x:v>Actual</x:v>
      </x:c>
    </x:row>
    <x:row r="331">
      <x:c r="A331" s="23" t="str">
        <x:v>2026-09</x:v>
      </x:c>
      <x:c r="B331" s="23" t="str">
        <x:v>2026-09-30</x:v>
      </x:c>
      <x:c r="C331" s="23" t="str">
        <x:v>FX_OTHER</x:v>
      </x:c>
      <x:c r="D331" s="23" t="str">
        <x:v>Efecto de tipo de cambio y otros</x:v>
      </x:c>
      <x:c r="E331" s="24" t="n">
        <x:v>0</x:v>
      </x:c>
      <x:c r="F331" s="23" t="str">
        <x:v>Otros</x:v>
      </x:c>
      <x:c r="G331" s="23" t="str">
        <x:v>Tesorería simulada</x:v>
      </x:c>
      <x:c r="H331" s="23" t="str">
        <x:v>Actual</x:v>
      </x:c>
    </x:row>
    <x:row r="332">
      <x:c r="A332" s="23" t="str">
        <x:v>2026-10</x:v>
      </x:c>
      <x:c r="B332" s="23" t="str">
        <x:v>2026-10-31</x:v>
      </x:c>
      <x:c r="C332" s="23" t="str">
        <x:v>CAPEX</x:v>
      </x:c>
      <x:c r="D332" s="23" t="str">
        <x:v>Inversiones en inmovilizado material</x:v>
      </x:c>
      <x:c r="E332" s="24" t="n">
        <x:v>115000</x:v>
      </x:c>
      <x:c r="F332" s="23" t="str">
        <x:v>Inversión</x:v>
      </x:c>
      <x:c r="G332" s="23" t="str">
        <x:v>Tesorería simulada</x:v>
      </x:c>
      <x:c r="H332" s="23" t="str">
        <x:v>Actual</x:v>
      </x:c>
    </x:row>
    <x:row r="333">
      <x:c r="A333" s="23" t="str">
        <x:v>2026-10</x:v>
      </x:c>
      <x:c r="B333" s="23" t="str">
        <x:v>2026-10-31</x:v>
      </x:c>
      <x:c r="C333" s="23" t="str">
        <x:v>INTANGIBLE_ADDITIONS</x:v>
      </x:c>
      <x:c r="D333" s="23" t="str">
        <x:v>Altas de activos intangibles</x:v>
      </x:c>
      <x:c r="E333" s="24" t="n">
        <x:v>15000</x:v>
      </x:c>
      <x:c r="F333" s="23" t="str">
        <x:v>Inversión</x:v>
      </x:c>
      <x:c r="G333" s="23" t="str">
        <x:v>Tesorería simulada</x:v>
      </x:c>
      <x:c r="H333" s="23" t="str">
        <x:v>Actual</x:v>
      </x:c>
    </x:row>
    <x:row r="334">
      <x:c r="A334" s="23" t="str">
        <x:v>2026-10</x:v>
      </x:c>
      <x:c r="B334" s="23" t="str">
        <x:v>2026-10-31</x:v>
      </x:c>
      <x:c r="C334" s="23" t="str">
        <x:v>ASSET_SALE_PROCEEDS</x:v>
      </x:c>
      <x:c r="D334" s="23" t="str">
        <x:v>Cobros por venta de activos</x:v>
      </x:c>
      <x:c r="E334" s="24" t="n">
        <x:v>0</x:v>
      </x:c>
      <x:c r="F334" s="23" t="str">
        <x:v>Inversión</x:v>
      </x:c>
      <x:c r="G334" s="23" t="str">
        <x:v>Tesorería simulada</x:v>
      </x:c>
      <x:c r="H334" s="23" t="str">
        <x:v>Actual</x:v>
      </x:c>
    </x:row>
    <x:row r="335">
      <x:c r="A335" s="23" t="str">
        <x:v>2026-10</x:v>
      </x:c>
      <x:c r="B335" s="23" t="str">
        <x:v>2026-10-31</x:v>
      </x:c>
      <x:c r="C335" s="23" t="str">
        <x:v>ACQUISITIONS</x:v>
      </x:c>
      <x:c r="D335" s="23" t="str">
        <x:v>Adquisiciones e inversiones financieras</x:v>
      </x:c>
      <x:c r="E335" s="24" t="n">
        <x:v>0</x:v>
      </x:c>
      <x:c r="F335" s="23" t="str">
        <x:v>Inversión</x:v>
      </x:c>
      <x:c r="G335" s="23" t="str">
        <x:v>Tesorería simulada</x:v>
      </x:c>
      <x:c r="H335" s="23" t="str">
        <x:v>Actual</x:v>
      </x:c>
    </x:row>
    <x:row r="336">
      <x:c r="A336" s="23" t="str">
        <x:v>2026-10</x:v>
      </x:c>
      <x:c r="B336" s="23" t="str">
        <x:v>2026-10-31</x:v>
      </x:c>
      <x:c r="C336" s="23" t="str">
        <x:v>DEBT_DRAWDOWNS</x:v>
      </x:c>
      <x:c r="D336" s="23" t="str">
        <x:v>Disposiciones de deuda</x:v>
      </x:c>
      <x:c r="E336" s="24" t="n">
        <x:v>0</x:v>
      </x:c>
      <x:c r="F336" s="23" t="str">
        <x:v>Financiación</x:v>
      </x:c>
      <x:c r="G336" s="23" t="str">
        <x:v>Tesorería simulada</x:v>
      </x:c>
      <x:c r="H336" s="23" t="str">
        <x:v>Actual</x:v>
      </x:c>
    </x:row>
    <x:row r="337">
      <x:c r="A337" s="23" t="str">
        <x:v>2026-10</x:v>
      </x:c>
      <x:c r="B337" s="23" t="str">
        <x:v>2026-10-31</x:v>
      </x:c>
      <x:c r="C337" s="23" t="str">
        <x:v>DEBT_REPAYMENTS</x:v>
      </x:c>
      <x:c r="D337" s="23" t="str">
        <x:v>Amortizaciones de deuda</x:v>
      </x:c>
      <x:c r="E337" s="24" t="n">
        <x:v>0</x:v>
      </x:c>
      <x:c r="F337" s="23" t="str">
        <x:v>Financiación</x:v>
      </x:c>
      <x:c r="G337" s="23" t="str">
        <x:v>Tesorería simulada</x:v>
      </x:c>
      <x:c r="H337" s="23" t="str">
        <x:v>Actual</x:v>
      </x:c>
    </x:row>
    <x:row r="338">
      <x:c r="A338" s="23" t="str">
        <x:v>2026-10</x:v>
      </x:c>
      <x:c r="B338" s="23" t="str">
        <x:v>2026-10-31</x:v>
      </x:c>
      <x:c r="C338" s="23" t="str">
        <x:v>LEASE_PRINCIPAL</x:v>
      </x:c>
      <x:c r="D338" s="23" t="str">
        <x:v>Pagos de principal de arrendamientos</x:v>
      </x:c>
      <x:c r="E338" s="24" t="n">
        <x:v>25000</x:v>
      </x:c>
      <x:c r="F338" s="23" t="str">
        <x:v>Financiación</x:v>
      </x:c>
      <x:c r="G338" s="23" t="str">
        <x:v>Tesorería simulada</x:v>
      </x:c>
      <x:c r="H338" s="23" t="str">
        <x:v>Actual</x:v>
      </x:c>
    </x:row>
    <x:row r="339">
      <x:c r="A339" s="23" t="str">
        <x:v>2026-10</x:v>
      </x:c>
      <x:c r="B339" s="23" t="str">
        <x:v>2026-10-31</x:v>
      </x:c>
      <x:c r="C339" s="23" t="str">
        <x:v>DIVIDENDS</x:v>
      </x:c>
      <x:c r="D339" s="23" t="str">
        <x:v>Dividendos pagados</x:v>
      </x:c>
      <x:c r="E339" s="24" t="n">
        <x:v>0</x:v>
      </x:c>
      <x:c r="F339" s="23" t="str">
        <x:v>Financiación</x:v>
      </x:c>
      <x:c r="G339" s="23" t="str">
        <x:v>Tesorería simulada</x:v>
      </x:c>
      <x:c r="H339" s="23" t="str">
        <x:v>Actual</x:v>
      </x:c>
    </x:row>
    <x:row r="340">
      <x:c r="A340" s="23" t="str">
        <x:v>2026-10</x:v>
      </x:c>
      <x:c r="B340" s="23" t="str">
        <x:v>2026-10-31</x:v>
      </x:c>
      <x:c r="C340" s="23" t="str">
        <x:v>CAPITAL_CONTRIBUTIONS</x:v>
      </x:c>
      <x:c r="D340" s="23" t="str">
        <x:v>Aportaciones de capital</x:v>
      </x:c>
      <x:c r="E340" s="24" t="n">
        <x:v>0</x:v>
      </x:c>
      <x:c r="F340" s="23" t="str">
        <x:v>Financiación</x:v>
      </x:c>
      <x:c r="G340" s="23" t="str">
        <x:v>Tesorería simulada</x:v>
      </x:c>
      <x:c r="H340" s="23" t="str">
        <x:v>Actual</x:v>
      </x:c>
    </x:row>
    <x:row r="341">
      <x:c r="A341" s="23" t="str">
        <x:v>2026-10</x:v>
      </x:c>
      <x:c r="B341" s="23" t="str">
        <x:v>2026-10-31</x:v>
      </x:c>
      <x:c r="C341" s="23" t="str">
        <x:v>FX_OTHER</x:v>
      </x:c>
      <x:c r="D341" s="23" t="str">
        <x:v>Efecto de tipo de cambio y otros</x:v>
      </x:c>
      <x:c r="E341" s="24" t="n">
        <x:v>0</x:v>
      </x:c>
      <x:c r="F341" s="23" t="str">
        <x:v>Otros</x:v>
      </x:c>
      <x:c r="G341" s="23" t="str">
        <x:v>Tesorería simulada</x:v>
      </x:c>
      <x:c r="H341" s="23" t="str">
        <x:v>Actual</x:v>
      </x:c>
    </x:row>
    <x:row r="342">
      <x:c r="A342" s="23" t="str">
        <x:v>2026-11</x:v>
      </x:c>
      <x:c r="B342" s="23" t="str">
        <x:v>2026-11-30</x:v>
      </x:c>
      <x:c r="C342" s="23" t="str">
        <x:v>CAPEX</x:v>
      </x:c>
      <x:c r="D342" s="23" t="str">
        <x:v>Inversiones en inmovilizado material</x:v>
      </x:c>
      <x:c r="E342" s="24" t="n">
        <x:v>116413</x:v>
      </x:c>
      <x:c r="F342" s="23" t="str">
        <x:v>Inversión</x:v>
      </x:c>
      <x:c r="G342" s="23" t="str">
        <x:v>Tesorería simulada</x:v>
      </x:c>
      <x:c r="H342" s="23" t="str">
        <x:v>Actual</x:v>
      </x:c>
    </x:row>
    <x:row r="343">
      <x:c r="A343" s="23" t="str">
        <x:v>2026-11</x:v>
      </x:c>
      <x:c r="B343" s="23" t="str">
        <x:v>2026-11-30</x:v>
      </x:c>
      <x:c r="C343" s="23" t="str">
        <x:v>INTANGIBLE_ADDITIONS</x:v>
      </x:c>
      <x:c r="D343" s="23" t="str">
        <x:v>Altas de activos intangibles</x:v>
      </x:c>
      <x:c r="E343" s="24" t="n">
        <x:v>15000</x:v>
      </x:c>
      <x:c r="F343" s="23" t="str">
        <x:v>Inversión</x:v>
      </x:c>
      <x:c r="G343" s="23" t="str">
        <x:v>Tesorería simulada</x:v>
      </x:c>
      <x:c r="H343" s="23" t="str">
        <x:v>Actual</x:v>
      </x:c>
    </x:row>
    <x:row r="344">
      <x:c r="A344" s="23" t="str">
        <x:v>2026-11</x:v>
      </x:c>
      <x:c r="B344" s="23" t="str">
        <x:v>2026-11-30</x:v>
      </x:c>
      <x:c r="C344" s="23" t="str">
        <x:v>ASSET_SALE_PROCEEDS</x:v>
      </x:c>
      <x:c r="D344" s="23" t="str">
        <x:v>Cobros por venta de activos</x:v>
      </x:c>
      <x:c r="E344" s="24" t="n">
        <x:v>0</x:v>
      </x:c>
      <x:c r="F344" s="23" t="str">
        <x:v>Inversión</x:v>
      </x:c>
      <x:c r="G344" s="23" t="str">
        <x:v>Tesorería simulada</x:v>
      </x:c>
      <x:c r="H344" s="23" t="str">
        <x:v>Actual</x:v>
      </x:c>
    </x:row>
    <x:row r="345">
      <x:c r="A345" s="23" t="str">
        <x:v>2026-11</x:v>
      </x:c>
      <x:c r="B345" s="23" t="str">
        <x:v>2026-11-30</x:v>
      </x:c>
      <x:c r="C345" s="23" t="str">
        <x:v>ACQUISITIONS</x:v>
      </x:c>
      <x:c r="D345" s="23" t="str">
        <x:v>Adquisiciones e inversiones financieras</x:v>
      </x:c>
      <x:c r="E345" s="24" t="n">
        <x:v>0</x:v>
      </x:c>
      <x:c r="F345" s="23" t="str">
        <x:v>Inversión</x:v>
      </x:c>
      <x:c r="G345" s="23" t="str">
        <x:v>Tesorería simulada</x:v>
      </x:c>
      <x:c r="H345" s="23" t="str">
        <x:v>Actual</x:v>
      </x:c>
    </x:row>
    <x:row r="346">
      <x:c r="A346" s="23" t="str">
        <x:v>2026-11</x:v>
      </x:c>
      <x:c r="B346" s="23" t="str">
        <x:v>2026-11-30</x:v>
      </x:c>
      <x:c r="C346" s="23" t="str">
        <x:v>DEBT_DRAWDOWNS</x:v>
      </x:c>
      <x:c r="D346" s="23" t="str">
        <x:v>Disposiciones de deuda</x:v>
      </x:c>
      <x:c r="E346" s="24" t="n">
        <x:v>0</x:v>
      </x:c>
      <x:c r="F346" s="23" t="str">
        <x:v>Financiación</x:v>
      </x:c>
      <x:c r="G346" s="23" t="str">
        <x:v>Tesorería simulada</x:v>
      </x:c>
      <x:c r="H346" s="23" t="str">
        <x:v>Actual</x:v>
      </x:c>
    </x:row>
    <x:row r="347">
      <x:c r="A347" s="23" t="str">
        <x:v>2026-11</x:v>
      </x:c>
      <x:c r="B347" s="23" t="str">
        <x:v>2026-11-30</x:v>
      </x:c>
      <x:c r="C347" s="23" t="str">
        <x:v>DEBT_REPAYMENTS</x:v>
      </x:c>
      <x:c r="D347" s="23" t="str">
        <x:v>Amortizaciones de deuda</x:v>
      </x:c>
      <x:c r="E347" s="24" t="n">
        <x:v>0</x:v>
      </x:c>
      <x:c r="F347" s="23" t="str">
        <x:v>Financiación</x:v>
      </x:c>
      <x:c r="G347" s="23" t="str">
        <x:v>Tesorería simulada</x:v>
      </x:c>
      <x:c r="H347" s="23" t="str">
        <x:v>Actual</x:v>
      </x:c>
    </x:row>
    <x:row r="348">
      <x:c r="A348" s="23" t="str">
        <x:v>2026-11</x:v>
      </x:c>
      <x:c r="B348" s="23" t="str">
        <x:v>2026-11-30</x:v>
      </x:c>
      <x:c r="C348" s="23" t="str">
        <x:v>LEASE_PRINCIPAL</x:v>
      </x:c>
      <x:c r="D348" s="23" t="str">
        <x:v>Pagos de principal de arrendamientos</x:v>
      </x:c>
      <x:c r="E348" s="24" t="n">
        <x:v>25000</x:v>
      </x:c>
      <x:c r="F348" s="23" t="str">
        <x:v>Financiación</x:v>
      </x:c>
      <x:c r="G348" s="23" t="str">
        <x:v>Tesorería simulada</x:v>
      </x:c>
      <x:c r="H348" s="23" t="str">
        <x:v>Actual</x:v>
      </x:c>
    </x:row>
    <x:row r="349">
      <x:c r="A349" s="23" t="str">
        <x:v>2026-11</x:v>
      </x:c>
      <x:c r="B349" s="23" t="str">
        <x:v>2026-11-30</x:v>
      </x:c>
      <x:c r="C349" s="23" t="str">
        <x:v>DIVIDENDS</x:v>
      </x:c>
      <x:c r="D349" s="23" t="str">
        <x:v>Dividendos pagados</x:v>
      </x:c>
      <x:c r="E349" s="24" t="n">
        <x:v>0</x:v>
      </x:c>
      <x:c r="F349" s="23" t="str">
        <x:v>Financiación</x:v>
      </x:c>
      <x:c r="G349" s="23" t="str">
        <x:v>Tesorería simulada</x:v>
      </x:c>
      <x:c r="H349" s="23" t="str">
        <x:v>Actual</x:v>
      </x:c>
    </x:row>
    <x:row r="350">
      <x:c r="A350" s="23" t="str">
        <x:v>2026-11</x:v>
      </x:c>
      <x:c r="B350" s="23" t="str">
        <x:v>2026-11-30</x:v>
      </x:c>
      <x:c r="C350" s="23" t="str">
        <x:v>CAPITAL_CONTRIBUTIONS</x:v>
      </x:c>
      <x:c r="D350" s="23" t="str">
        <x:v>Aportaciones de capital</x:v>
      </x:c>
      <x:c r="E350" s="24" t="n">
        <x:v>0</x:v>
      </x:c>
      <x:c r="F350" s="23" t="str">
        <x:v>Financiación</x:v>
      </x:c>
      <x:c r="G350" s="23" t="str">
        <x:v>Tesorería simulada</x:v>
      </x:c>
      <x:c r="H350" s="23" t="str">
        <x:v>Actual</x:v>
      </x:c>
    </x:row>
    <x:row r="351">
      <x:c r="A351" s="23" t="str">
        <x:v>2026-11</x:v>
      </x:c>
      <x:c r="B351" s="23" t="str">
        <x:v>2026-11-30</x:v>
      </x:c>
      <x:c r="C351" s="23" t="str">
        <x:v>FX_OTHER</x:v>
      </x:c>
      <x:c r="D351" s="23" t="str">
        <x:v>Efecto de tipo de cambio y otros</x:v>
      </x:c>
      <x:c r="E351" s="24" t="n">
        <x:v>0</x:v>
      </x:c>
      <x:c r="F351" s="23" t="str">
        <x:v>Otros</x:v>
      </x:c>
      <x:c r="G351" s="23" t="str">
        <x:v>Tesorería simulada</x:v>
      </x:c>
      <x:c r="H351" s="23" t="str">
        <x:v>Actual</x:v>
      </x:c>
    </x:row>
    <x:row r="352">
      <x:c r="A352" s="23" t="str">
        <x:v>2026-12</x:v>
      </x:c>
      <x:c r="B352" s="23" t="str">
        <x:v>2026-12-31</x:v>
      </x:c>
      <x:c r="C352" s="23" t="str">
        <x:v>CAPEX</x:v>
      </x:c>
      <x:c r="D352" s="23" t="str">
        <x:v>Inversiones en inmovilizado material</x:v>
      </x:c>
      <x:c r="E352" s="24" t="n">
        <x:v>120421</x:v>
      </x:c>
      <x:c r="F352" s="23" t="str">
        <x:v>Inversión</x:v>
      </x:c>
      <x:c r="G352" s="23" t="str">
        <x:v>Tesorería simulada</x:v>
      </x:c>
      <x:c r="H352" s="23" t="str">
        <x:v>Actual</x:v>
      </x:c>
    </x:row>
    <x:row r="353">
      <x:c r="A353" s="23" t="str">
        <x:v>2026-12</x:v>
      </x:c>
      <x:c r="B353" s="23" t="str">
        <x:v>2026-12-31</x:v>
      </x:c>
      <x:c r="C353" s="23" t="str">
        <x:v>INTANGIBLE_ADDITIONS</x:v>
      </x:c>
      <x:c r="D353" s="23" t="str">
        <x:v>Altas de activos intangibles</x:v>
      </x:c>
      <x:c r="E353" s="24" t="n">
        <x:v>45000</x:v>
      </x:c>
      <x:c r="F353" s="23" t="str">
        <x:v>Inversión</x:v>
      </x:c>
      <x:c r="G353" s="23" t="str">
        <x:v>Tesorería simulada</x:v>
      </x:c>
      <x:c r="H353" s="23" t="str">
        <x:v>Actual</x:v>
      </x:c>
    </x:row>
    <x:row r="354">
      <x:c r="A354" s="23" t="str">
        <x:v>2026-12</x:v>
      </x:c>
      <x:c r="B354" s="23" t="str">
        <x:v>2026-12-31</x:v>
      </x:c>
      <x:c r="C354" s="23" t="str">
        <x:v>ASSET_SALE_PROCEEDS</x:v>
      </x:c>
      <x:c r="D354" s="23" t="str">
        <x:v>Cobros por venta de activos</x:v>
      </x:c>
      <x:c r="E354" s="24" t="n">
        <x:v>0</x:v>
      </x:c>
      <x:c r="F354" s="23" t="str">
        <x:v>Inversión</x:v>
      </x:c>
      <x:c r="G354" s="23" t="str">
        <x:v>Tesorería simulada</x:v>
      </x:c>
      <x:c r="H354" s="23" t="str">
        <x:v>Actual</x:v>
      </x:c>
    </x:row>
    <x:row r="355">
      <x:c r="A355" s="23" t="str">
        <x:v>2026-12</x:v>
      </x:c>
      <x:c r="B355" s="23" t="str">
        <x:v>2026-12-31</x:v>
      </x:c>
      <x:c r="C355" s="23" t="str">
        <x:v>ACQUISITIONS</x:v>
      </x:c>
      <x:c r="D355" s="23" t="str">
        <x:v>Adquisiciones e inversiones financieras</x:v>
      </x:c>
      <x:c r="E355" s="24" t="n">
        <x:v>0</x:v>
      </x:c>
      <x:c r="F355" s="23" t="str">
        <x:v>Inversión</x:v>
      </x:c>
      <x:c r="G355" s="23" t="str">
        <x:v>Tesorería simulada</x:v>
      </x:c>
      <x:c r="H355" s="23" t="str">
        <x:v>Actual</x:v>
      </x:c>
    </x:row>
    <x:row r="356">
      <x:c r="A356" s="23" t="str">
        <x:v>2026-12</x:v>
      </x:c>
      <x:c r="B356" s="23" t="str">
        <x:v>2026-12-31</x:v>
      </x:c>
      <x:c r="C356" s="23" t="str">
        <x:v>DEBT_DRAWDOWNS</x:v>
      </x:c>
      <x:c r="D356" s="23" t="str">
        <x:v>Disposiciones de deuda</x:v>
      </x:c>
      <x:c r="E356" s="24" t="n">
        <x:v>0</x:v>
      </x:c>
      <x:c r="F356" s="23" t="str">
        <x:v>Financiación</x:v>
      </x:c>
      <x:c r="G356" s="23" t="str">
        <x:v>Tesorería simulada</x:v>
      </x:c>
      <x:c r="H356" s="23" t="str">
        <x:v>Actual</x:v>
      </x:c>
    </x:row>
    <x:row r="357">
      <x:c r="A357" s="23" t="str">
        <x:v>2026-12</x:v>
      </x:c>
      <x:c r="B357" s="23" t="str">
        <x:v>2026-12-31</x:v>
      </x:c>
      <x:c r="C357" s="23" t="str">
        <x:v>DEBT_REPAYMENTS</x:v>
      </x:c>
      <x:c r="D357" s="23" t="str">
        <x:v>Amortizaciones de deuda</x:v>
      </x:c>
      <x:c r="E357" s="24" t="n">
        <x:v>375000</x:v>
      </x:c>
      <x:c r="F357" s="23" t="str">
        <x:v>Financiación</x:v>
      </x:c>
      <x:c r="G357" s="23" t="str">
        <x:v>Tesorería simulada</x:v>
      </x:c>
      <x:c r="H357" s="23" t="str">
        <x:v>Actual</x:v>
      </x:c>
    </x:row>
    <x:row r="358">
      <x:c r="A358" s="23" t="str">
        <x:v>2026-12</x:v>
      </x:c>
      <x:c r="B358" s="23" t="str">
        <x:v>2026-12-31</x:v>
      </x:c>
      <x:c r="C358" s="23" t="str">
        <x:v>LEASE_PRINCIPAL</x:v>
      </x:c>
      <x:c r="D358" s="23" t="str">
        <x:v>Pagos de principal de arrendamientos</x:v>
      </x:c>
      <x:c r="E358" s="24" t="n">
        <x:v>25000</x:v>
      </x:c>
      <x:c r="F358" s="23" t="str">
        <x:v>Financiación</x:v>
      </x:c>
      <x:c r="G358" s="23" t="str">
        <x:v>Tesorería simulada</x:v>
      </x:c>
      <x:c r="H358" s="23" t="str">
        <x:v>Actual</x:v>
      </x:c>
    </x:row>
    <x:row r="359">
      <x:c r="A359" s="23" t="str">
        <x:v>2026-12</x:v>
      </x:c>
      <x:c r="B359" s="23" t="str">
        <x:v>2026-12-31</x:v>
      </x:c>
      <x:c r="C359" s="23" t="str">
        <x:v>DIVIDENDS</x:v>
      </x:c>
      <x:c r="D359" s="23" t="str">
        <x:v>Dividendos pagados</x:v>
      </x:c>
      <x:c r="E359" s="24" t="n">
        <x:v>250000</x:v>
      </x:c>
      <x:c r="F359" s="23" t="str">
        <x:v>Financiación</x:v>
      </x:c>
      <x:c r="G359" s="23" t="str">
        <x:v>Tesorería simulada</x:v>
      </x:c>
      <x:c r="H359" s="23" t="str">
        <x:v>Actual</x:v>
      </x:c>
    </x:row>
    <x:row r="360">
      <x:c r="A360" s="23" t="str">
        <x:v>2026-12</x:v>
      </x:c>
      <x:c r="B360" s="23" t="str">
        <x:v>2026-12-31</x:v>
      </x:c>
      <x:c r="C360" s="23" t="str">
        <x:v>CAPITAL_CONTRIBUTIONS</x:v>
      </x:c>
      <x:c r="D360" s="23" t="str">
        <x:v>Aportaciones de capital</x:v>
      </x:c>
      <x:c r="E360" s="24" t="n">
        <x:v>0</x:v>
      </x:c>
      <x:c r="F360" s="23" t="str">
        <x:v>Financiación</x:v>
      </x:c>
      <x:c r="G360" s="23" t="str">
        <x:v>Tesorería simulada</x:v>
      </x:c>
      <x:c r="H360" s="23" t="str">
        <x:v>Actual</x:v>
      </x:c>
    </x:row>
    <x:row r="361">
      <x:c r="A361" s="23" t="str">
        <x:v>2026-12</x:v>
      </x:c>
      <x:c r="B361" s="23" t="str">
        <x:v>2026-12-31</x:v>
      </x:c>
      <x:c r="C361" s="23" t="str">
        <x:v>FX_OTHER</x:v>
      </x:c>
      <x:c r="D361" s="23" t="str">
        <x:v>Efecto de tipo de cambio y otros</x:v>
      </x:c>
      <x:c r="E361" s="24" t="n">
        <x:v>0</x:v>
      </x:c>
      <x:c r="F361" s="23" t="str">
        <x:v>Otros</x:v>
      </x:c>
      <x:c r="G361" s="23" t="str">
        <x:v>Tesorería simulada</x:v>
      </x:c>
      <x:c r="H361" s="23" t="str">
        <x:v>Actual</x:v>
      </x:c>
    </x:row>
  </x:sheetData>
  <x:pageMargins left="0.7" right="0.7" top="0.75" bottom="0.75" header="0.3" footer="0.3"/>
  <x:tableParts count="1">
    <x:tablePart xmlns:r="http://schemas.openxmlformats.org/officeDocument/2006/relationships" r:id="R39d1c90f53bd4def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</x:cols>
  <x:sheetData>
    <x:row r="1" ht="32" customHeight="1">
      <x:c r="A1" s="3" t="str">
        <x:v>Estados financieros mensuales</x:v>
      </x:c>
      <x:c r="B1" s="3" t="str">
        <x:v>Estados financieros mensuales</x:v>
      </x:c>
      <x:c r="C1" s="3" t="str">
        <x:v>Estados financieros mensuales</x:v>
      </x:c>
      <x:c r="D1" s="3" t="str">
        <x:v>Estados financieros mensuales</x:v>
      </x:c>
      <x:c r="E1" s="3" t="str">
        <x:v>Estados financieros mensuales</x:v>
      </x:c>
      <x:c r="F1" s="3" t="str">
        <x:v>Estados financieros mensuales</x:v>
      </x:c>
      <x:c r="G1" s="3" t="str">
        <x:v>Estados financieros mensuales</x:v>
      </x:c>
      <x:c r="H1" s="3" t="str">
        <x:v>Estados financieros mensuales</x:v>
      </x:c>
      <x:c r="I1" s="3" t="str">
        <x:v>Estados financieros mensuales</x:v>
      </x:c>
      <x:c r="J1" s="3" t="str">
        <x:v>Estados financieros mensuales</x:v>
      </x:c>
      <x:c r="K1" s="3" t="str">
        <x:v>Estados financieros mensuales</x:v>
      </x:c>
      <x:c r="L1" s="3" t="str">
        <x:v>Estados financieros mensuales</x:v>
      </x:c>
      <x:c r="M1" s="3" t="str">
        <x:v>Estados financieros mensuales</x:v>
      </x:c>
      <x:c r="N1" s="3" t="str">
        <x:v>Estados financieros mensuales</x:v>
      </x:c>
      <x:c r="O1" s="3" t="str">
        <x:v>Estados financieros mensuales</x:v>
      </x:c>
      <x:c r="P1" s="3" t="str">
        <x:v>Estados financieros mensuales</x:v>
      </x:c>
      <x:c r="Q1" s="3" t="str">
        <x:v>Estados financieros mensuales</x:v>
      </x:c>
      <x:c r="R1" s="3" t="str">
        <x:v>Estados financieros mensuales</x:v>
      </x:c>
      <x:c r="S1" s="3" t="str">
        <x:v>Estados financieros mensuales</x:v>
      </x:c>
      <x:c r="T1" s="3" t="str">
        <x:v>Estados financieros mensuales</x:v>
      </x:c>
      <x:c r="U1" s="3" t="str">
        <x:v>Estados financieros mensuales</x:v>
      </x:c>
      <x:c r="V1" s="3" t="str">
        <x:v>Estados financieros mensuales</x:v>
      </x:c>
      <x:c r="W1" s="3" t="str">
        <x:v>Estados financieros mensuales</x:v>
      </x:c>
      <x:c r="X1" s="3" t="str">
        <x:v>Estados financieros mensuales</x:v>
      </x:c>
      <x:c r="Y1" s="3" t="str">
        <x:v>Estados financieros mensuales</x:v>
      </x:c>
      <x:c r="Z1" s="3" t="str">
        <x:v>Estados financieros mensuales</x:v>
      </x:c>
      <x:c r="AA1" s="3" t="str">
        <x:v>Estados financieros mensuales</x:v>
      </x:c>
      <x:c r="AB1" s="3" t="str">
        <x:v>Estados financieros mensuales</x:v>
      </x:c>
      <x:c r="AC1" s="3" t="str">
        <x:v>Estados financieros mensuales</x:v>
      </x:c>
      <x:c r="AD1" s="3" t="str">
        <x:v>Estados financieros mensuales</x:v>
      </x:c>
      <x:c r="AE1" s="3" t="str">
        <x:v>Estados financieros mensuales</x:v>
      </x:c>
      <x:c r="AF1" s="3" t="str">
        <x:v>Estados financieros mensuales</x:v>
      </x:c>
      <x:c r="AG1" s="3" t="str">
        <x:v>Estados financieros mensuales</x:v>
      </x:c>
      <x:c r="AH1" s="3" t="str">
        <x:v>Estados financieros mensuales</x:v>
      </x:c>
      <x:c r="AI1" s="3" t="str">
        <x:v>Estados financieros mensuales</x:v>
      </x:c>
      <x:c r="AJ1" s="3" t="str">
        <x:v>Estados financieros mensuales</x:v>
      </x:c>
      <x:c r="AK1" s="3" t="str">
        <x:v>Estados financieros mensuales</x:v>
      </x:c>
    </x:row>
    <x:row r="2" ht="30" customHeight="1">
      <x:c r="A2" s="7" t="str">
        <x:v>Cuenta de resultados y balance construidos exclusivamente con fórmulas sobre las tablas fuente.</x:v>
      </x:c>
      <x:c r="B2" s="7" t="str">
        <x:v>Cuenta de resultados y balance construidos exclusivamente con fórmulas sobre las tablas fuente.</x:v>
      </x:c>
      <x:c r="C2" s="7" t="str">
        <x:v>Cuenta de resultados y balance construidos exclusivamente con fórmulas sobre las tablas fuente.</x:v>
      </x:c>
      <x:c r="D2" s="7" t="str">
        <x:v>Cuenta de resultados y balance construidos exclusivamente con fórmulas sobre las tablas fuente.</x:v>
      </x:c>
      <x:c r="E2" s="7" t="str">
        <x:v>Cuenta de resultados y balance construidos exclusivamente con fórmulas sobre las tablas fuente.</x:v>
      </x:c>
      <x:c r="F2" s="7" t="str">
        <x:v>Cuenta de resultados y balance construidos exclusivamente con fórmulas sobre las tablas fuente.</x:v>
      </x:c>
      <x:c r="G2" s="7" t="str">
        <x:v>Cuenta de resultados y balance construidos exclusivamente con fórmulas sobre las tablas fuente.</x:v>
      </x:c>
      <x:c r="H2" s="7" t="str">
        <x:v>Cuenta de resultados y balance construidos exclusivamente con fórmulas sobre las tablas fuente.</x:v>
      </x:c>
      <x:c r="I2" s="7" t="str">
        <x:v>Cuenta de resultados y balance construidos exclusivamente con fórmulas sobre las tablas fuente.</x:v>
      </x:c>
      <x:c r="J2" s="7" t="str">
        <x:v>Cuenta de resultados y balance construidos exclusivamente con fórmulas sobre las tablas fuente.</x:v>
      </x:c>
      <x:c r="K2" s="7" t="str">
        <x:v>Cuenta de resultados y balance construidos exclusivamente con fórmulas sobre las tablas fuente.</x:v>
      </x:c>
      <x:c r="L2" s="7" t="str">
        <x:v>Cuenta de resultados y balance construidos exclusivamente con fórmulas sobre las tablas fuente.</x:v>
      </x:c>
      <x:c r="M2" s="7" t="str">
        <x:v>Cuenta de resultados y balance construidos exclusivamente con fórmulas sobre las tablas fuente.</x:v>
      </x:c>
      <x:c r="N2" s="7" t="str">
        <x:v>Cuenta de resultados y balance construidos exclusivamente con fórmulas sobre las tablas fuente.</x:v>
      </x:c>
      <x:c r="O2" s="7" t="str">
        <x:v>Cuenta de resultados y balance construidos exclusivamente con fórmulas sobre las tablas fuente.</x:v>
      </x:c>
      <x:c r="P2" s="7" t="str">
        <x:v>Cuenta de resultados y balance construidos exclusivamente con fórmulas sobre las tablas fuente.</x:v>
      </x:c>
      <x:c r="Q2" s="7" t="str">
        <x:v>Cuenta de resultados y balance construidos exclusivamente con fórmulas sobre las tablas fuente.</x:v>
      </x:c>
      <x:c r="R2" s="7" t="str">
        <x:v>Cuenta de resultados y balance construidos exclusivamente con fórmulas sobre las tablas fuente.</x:v>
      </x:c>
      <x:c r="S2" s="7" t="str">
        <x:v>Cuenta de resultados y balance construidos exclusivamente con fórmulas sobre las tablas fuente.</x:v>
      </x:c>
      <x:c r="T2" s="7" t="str">
        <x:v>Cuenta de resultados y balance construidos exclusivamente con fórmulas sobre las tablas fuente.</x:v>
      </x:c>
      <x:c r="U2" s="7" t="str">
        <x:v>Cuenta de resultados y balance construidos exclusivamente con fórmulas sobre las tablas fuente.</x:v>
      </x:c>
      <x:c r="V2" s="7" t="str">
        <x:v>Cuenta de resultados y balance construidos exclusivamente con fórmulas sobre las tablas fuente.</x:v>
      </x:c>
      <x:c r="W2" s="7" t="str">
        <x:v>Cuenta de resultados y balance construidos exclusivamente con fórmulas sobre las tablas fuente.</x:v>
      </x:c>
      <x:c r="X2" s="7" t="str">
        <x:v>Cuenta de resultados y balance construidos exclusivamente con fórmulas sobre las tablas fuente.</x:v>
      </x:c>
      <x:c r="Y2" s="7" t="str">
        <x:v>Cuenta de resultados y balance construidos exclusivamente con fórmulas sobre las tablas fuente.</x:v>
      </x:c>
      <x:c r="Z2" s="7" t="str">
        <x:v>Cuenta de resultados y balance construidos exclusivamente con fórmulas sobre las tablas fuente.</x:v>
      </x:c>
      <x:c r="AA2" s="7" t="str">
        <x:v>Cuenta de resultados y balance construidos exclusivamente con fórmulas sobre las tablas fuente.</x:v>
      </x:c>
      <x:c r="AB2" s="7" t="str">
        <x:v>Cuenta de resultados y balance construidos exclusivamente con fórmulas sobre las tablas fuente.</x:v>
      </x:c>
      <x:c r="AC2" s="7" t="str">
        <x:v>Cuenta de resultados y balance construidos exclusivamente con fórmulas sobre las tablas fuente.</x:v>
      </x:c>
      <x:c r="AD2" s="7" t="str">
        <x:v>Cuenta de resultados y balance construidos exclusivamente con fórmulas sobre las tablas fuente.</x:v>
      </x:c>
      <x:c r="AE2" s="7" t="str">
        <x:v>Cuenta de resultados y balance construidos exclusivamente con fórmulas sobre las tablas fuente.</x:v>
      </x:c>
      <x:c r="AF2" s="7" t="str">
        <x:v>Cuenta de resultados y balance construidos exclusivamente con fórmulas sobre las tablas fuente.</x:v>
      </x:c>
      <x:c r="AG2" s="7" t="str">
        <x:v>Cuenta de resultados y balance construidos exclusivamente con fórmulas sobre las tablas fuente.</x:v>
      </x:c>
      <x:c r="AH2" s="7" t="str">
        <x:v>Cuenta de resultados y balance construidos exclusivamente con fórmulas sobre las tablas fuente.</x:v>
      </x:c>
      <x:c r="AI2" s="7" t="str">
        <x:v>Cuenta de resultados y balance construidos exclusivamente con fórmulas sobre las tablas fuente.</x:v>
      </x:c>
      <x:c r="AJ2" s="7" t="str">
        <x:v>Cuenta de resultados y balance construidos exclusivamente con fórmulas sobre las tablas fuente.</x:v>
      </x:c>
      <x:c r="AK2" s="7" t="str">
        <x:v>Cuenta de resultados y balance construidos exclusivamente con fórmulas sobre las tablas fuente.</x:v>
      </x:c>
    </x:row>
    <x:row r="3" ht="26" customHeight="1">
      <x:c r="A3" s="34" t="str">
        <x:v>Línea</x:v>
      </x:c>
      <x:c r="B3" s="34" t="str">
        <x:v>2024-01</x:v>
      </x:c>
      <x:c r="C3" s="34" t="str">
        <x:v>2024-02</x:v>
      </x:c>
      <x:c r="D3" s="34" t="str">
        <x:v>2024-03</x:v>
      </x:c>
      <x:c r="E3" s="34" t="str">
        <x:v>2024-04</x:v>
      </x:c>
      <x:c r="F3" s="34" t="str">
        <x:v>2024-05</x:v>
      </x:c>
      <x:c r="G3" s="34" t="str">
        <x:v>2024-06</x:v>
      </x:c>
      <x:c r="H3" s="34" t="str">
        <x:v>2024-07</x:v>
      </x:c>
      <x:c r="I3" s="34" t="str">
        <x:v>2024-08</x:v>
      </x:c>
      <x:c r="J3" s="34" t="str">
        <x:v>2024-09</x:v>
      </x:c>
      <x:c r="K3" s="34" t="str">
        <x:v>2024-10</x:v>
      </x:c>
      <x:c r="L3" s="34" t="str">
        <x:v>2024-11</x:v>
      </x:c>
      <x:c r="M3" s="34" t="str">
        <x:v>2024-12</x:v>
      </x:c>
      <x:c r="N3" s="34" t="str">
        <x:v>2025-01</x:v>
      </x:c>
      <x:c r="O3" s="34" t="str">
        <x:v>2025-02</x:v>
      </x:c>
      <x:c r="P3" s="34" t="str">
        <x:v>2025-03</x:v>
      </x:c>
      <x:c r="Q3" s="34" t="str">
        <x:v>2025-04</x:v>
      </x:c>
      <x:c r="R3" s="34" t="str">
        <x:v>2025-05</x:v>
      </x:c>
      <x:c r="S3" s="34" t="str">
        <x:v>2025-06</x:v>
      </x:c>
      <x:c r="T3" s="34" t="str">
        <x:v>2025-07</x:v>
      </x:c>
      <x:c r="U3" s="34" t="str">
        <x:v>2025-08</x:v>
      </x:c>
      <x:c r="V3" s="34" t="str">
        <x:v>2025-09</x:v>
      </x:c>
      <x:c r="W3" s="34" t="str">
        <x:v>2025-10</x:v>
      </x:c>
      <x:c r="X3" s="34" t="str">
        <x:v>2025-11</x:v>
      </x:c>
      <x:c r="Y3" s="34" t="str">
        <x:v>2025-12</x:v>
      </x:c>
      <x:c r="Z3" s="34" t="str">
        <x:v>2026-01</x:v>
      </x:c>
      <x:c r="AA3" s="34" t="str">
        <x:v>2026-02</x:v>
      </x:c>
      <x:c r="AB3" s="34" t="str">
        <x:v>2026-03</x:v>
      </x:c>
      <x:c r="AC3" s="34" t="str">
        <x:v>2026-04</x:v>
      </x:c>
      <x:c r="AD3" s="34" t="str">
        <x:v>2026-05</x:v>
      </x:c>
      <x:c r="AE3" s="34" t="str">
        <x:v>2026-06</x:v>
      </x:c>
      <x:c r="AF3" s="34" t="str">
        <x:v>2026-07</x:v>
      </x:c>
      <x:c r="AG3" s="34" t="str">
        <x:v>2026-08</x:v>
      </x:c>
      <x:c r="AH3" s="34" t="str">
        <x:v>2026-09</x:v>
      </x:c>
      <x:c r="AI3" s="34" t="str">
        <x:v>2026-10</x:v>
      </x:c>
      <x:c r="AJ3" s="34" t="str">
        <x:v>2026-11</x:v>
      </x:c>
      <x:c r="AK3" s="34" t="str">
        <x:v>2026-12</x:v>
      </x:c>
    </x:row>
    <x:row r="4">
      <x:c r="A4" s="35" t="str">
        <x:v>CUENTA DE RESULTADOS</x:v>
      </x:c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5"/>
      <x:c r="N4" s="35"/>
      <x:c r="O4" s="35"/>
      <x:c r="P4" s="35"/>
      <x:c r="Q4" s="35"/>
      <x:c r="R4" s="35"/>
      <x:c r="S4" s="35"/>
      <x:c r="T4" s="35"/>
      <x:c r="U4" s="35"/>
      <x:c r="V4" s="35"/>
      <x:c r="W4" s="35"/>
      <x:c r="X4" s="35"/>
      <x:c r="Y4" s="35"/>
      <x:c r="Z4" s="35"/>
      <x:c r="AA4" s="35"/>
      <x:c r="AB4" s="35"/>
      <x:c r="AC4" s="35"/>
      <x:c r="AD4" s="35"/>
      <x:c r="AE4" s="35"/>
      <x:c r="AF4" s="35"/>
      <x:c r="AG4" s="35"/>
      <x:c r="AH4" s="35"/>
      <x:c r="AI4" s="35"/>
      <x:c r="AJ4" s="35"/>
      <x:c r="AK4" s="35"/>
    </x:row>
    <x:row r="5">
      <x:c r="A5" s="36" t="str">
        <x:v>Ingresos por producto</x:v>
      </x:c>
      <x:c r="B5" s="37" t="n">
        <x:f>SUMIFS('Income_Statement_Data'!$E$2:$E$613,'Income_Statement_Data'!$A$2:$A$613,B$3,'Income_Statement_Data'!$C$2:$C$613,"4000")</x:f>
        <x:v>1854991</x:v>
      </x:c>
      <x:c r="C5" s="37" t="n">
        <x:f>SUMIFS('Income_Statement_Data'!$E$2:$E$613,'Income_Statement_Data'!$A$2:$A$613,C$3,'Income_Statement_Data'!$C$2:$C$613,"4000")</x:f>
        <x:v>1919245</x:v>
      </x:c>
      <x:c r="D5" s="37" t="n">
        <x:f>SUMIFS('Income_Statement_Data'!$E$2:$E$613,'Income_Statement_Data'!$A$2:$A$613,D$3,'Income_Statement_Data'!$C$2:$C$613,"4000")</x:f>
        <x:v>2070269</x:v>
      </x:c>
      <x:c r="E5" s="37" t="n">
        <x:f>SUMIFS('Income_Statement_Data'!$E$2:$E$613,'Income_Statement_Data'!$A$2:$A$613,E$3,'Income_Statement_Data'!$C$2:$C$613,"4000")</x:f>
        <x:v>2039874</x:v>
      </x:c>
      <x:c r="F5" s="37" t="n">
        <x:f>SUMIFS('Income_Statement_Data'!$E$2:$E$613,'Income_Statement_Data'!$A$2:$A$613,F$3,'Income_Statement_Data'!$C$2:$C$613,"4000")</x:f>
        <x:v>2139560</x:v>
      </x:c>
      <x:c r="G5" s="37" t="n">
        <x:f>SUMIFS('Income_Statement_Data'!$E$2:$E$613,'Income_Statement_Data'!$A$2:$A$613,G$3,'Income_Statement_Data'!$C$2:$C$613,"4000")</x:f>
        <x:v>2202972</x:v>
      </x:c>
      <x:c r="H5" s="37" t="n">
        <x:f>SUMIFS('Income_Statement_Data'!$E$2:$E$613,'Income_Statement_Data'!$A$2:$A$613,H$3,'Income_Statement_Data'!$C$2:$C$613,"4000")</x:f>
        <x:v>2078284</x:v>
      </x:c>
      <x:c r="I5" s="37" t="n">
        <x:f>SUMIFS('Income_Statement_Data'!$E$2:$E$613,'Income_Statement_Data'!$A$2:$A$613,I$3,'Income_Statement_Data'!$C$2:$C$613,"4000")</x:f>
        <x:v>1995755</x:v>
      </x:c>
      <x:c r="J5" s="37" t="n">
        <x:f>SUMIFS('Income_Statement_Data'!$E$2:$E$613,'Income_Statement_Data'!$A$2:$A$613,J$3,'Income_Statement_Data'!$C$2:$C$613,"4000")</x:f>
        <x:v>2306757</x:v>
      </x:c>
      <x:c r="K5" s="37" t="n">
        <x:f>SUMIFS('Income_Statement_Data'!$E$2:$E$613,'Income_Statement_Data'!$A$2:$A$613,K$3,'Income_Statement_Data'!$C$2:$C$613,"4000")</x:f>
        <x:v>2401634</x:v>
      </x:c>
      <x:c r="L5" s="37" t="n">
        <x:f>SUMIFS('Income_Statement_Data'!$E$2:$E$613,'Income_Statement_Data'!$A$2:$A$613,L$3,'Income_Statement_Data'!$C$2:$C$613,"4000")</x:f>
        <x:v>2517957</x:v>
      </x:c>
      <x:c r="M5" s="37" t="n">
        <x:f>SUMIFS('Income_Statement_Data'!$E$2:$E$613,'Income_Statement_Data'!$A$2:$A$613,M$3,'Income_Statement_Data'!$C$2:$C$613,"4000")</x:f>
        <x:v>2722665</x:v>
      </x:c>
      <x:c r="N5" s="37" t="n">
        <x:f>SUMIFS('Income_Statement_Data'!$E$2:$E$613,'Income_Statement_Data'!$A$2:$A$613,N$3,'Income_Statement_Data'!$C$2:$C$613,"4000")</x:f>
        <x:v>2056427</x:v>
      </x:c>
      <x:c r="O5" s="37" t="n">
        <x:f>SUMIFS('Income_Statement_Data'!$E$2:$E$613,'Income_Statement_Data'!$A$2:$A$613,O$3,'Income_Statement_Data'!$C$2:$C$613,"4000")</x:f>
        <x:v>2135123</x:v>
      </x:c>
      <x:c r="P5" s="37" t="n">
        <x:f>SUMIFS('Income_Statement_Data'!$E$2:$E$613,'Income_Statement_Data'!$A$2:$A$613,P$3,'Income_Statement_Data'!$C$2:$C$613,"4000")</x:f>
        <x:v>2301744</x:v>
      </x:c>
      <x:c r="Q5" s="37" t="n">
        <x:f>SUMIFS('Income_Statement_Data'!$E$2:$E$613,'Income_Statement_Data'!$A$2:$A$613,Q$3,'Income_Statement_Data'!$C$2:$C$613,"4000")</x:f>
        <x:v>2121832</x:v>
      </x:c>
      <x:c r="R5" s="37" t="n">
        <x:f>SUMIFS('Income_Statement_Data'!$E$2:$E$613,'Income_Statement_Data'!$A$2:$A$613,R$3,'Income_Statement_Data'!$C$2:$C$613,"4000")</x:f>
        <x:v>2206937</x:v>
      </x:c>
      <x:c r="S5" s="37" t="n">
        <x:f>SUMIFS('Income_Statement_Data'!$E$2:$E$613,'Income_Statement_Data'!$A$2:$A$613,S$3,'Income_Statement_Data'!$C$2:$C$613,"4000")</x:f>
        <x:v>2247085</x:v>
      </x:c>
      <x:c r="T5" s="37" t="n">
        <x:f>SUMIFS('Income_Statement_Data'!$E$2:$E$613,'Income_Statement_Data'!$A$2:$A$613,T$3,'Income_Statement_Data'!$C$2:$C$613,"4000")</x:f>
        <x:v>2226607</x:v>
      </x:c>
      <x:c r="U5" s="37" t="n">
        <x:f>SUMIFS('Income_Statement_Data'!$E$2:$E$613,'Income_Statement_Data'!$A$2:$A$613,U$3,'Income_Statement_Data'!$C$2:$C$613,"4000")</x:f>
        <x:v>2110659</x:v>
      </x:c>
      <x:c r="V5" s="37" t="n">
        <x:f>SUMIFS('Income_Statement_Data'!$E$2:$E$613,'Income_Statement_Data'!$A$2:$A$613,V$3,'Income_Statement_Data'!$C$2:$C$613,"4000")</x:f>
        <x:v>2411110</x:v>
      </x:c>
      <x:c r="W5" s="37" t="n">
        <x:f>SUMIFS('Income_Statement_Data'!$E$2:$E$613,'Income_Statement_Data'!$A$2:$A$613,W$3,'Income_Statement_Data'!$C$2:$C$613,"4000")</x:f>
        <x:v>2487201</x:v>
      </x:c>
      <x:c r="X5" s="37" t="n">
        <x:f>SUMIFS('Income_Statement_Data'!$E$2:$E$613,'Income_Statement_Data'!$A$2:$A$613,X$3,'Income_Statement_Data'!$C$2:$C$613,"4000")</x:f>
        <x:v>2592686</x:v>
      </x:c>
      <x:c r="Y5" s="37" t="n">
        <x:f>SUMIFS('Income_Statement_Data'!$E$2:$E$613,'Income_Statement_Data'!$A$2:$A$613,Y$3,'Income_Statement_Data'!$C$2:$C$613,"4000")</x:f>
        <x:v>2798664</x:v>
      </x:c>
      <x:c r="Z5" s="37" t="n">
        <x:f>SUMIFS('Income_Statement_Data'!$E$2:$E$613,'Income_Statement_Data'!$A$2:$A$613,Z$3,'Income_Statement_Data'!$C$2:$C$613,"4000")</x:f>
        <x:v>2119011</x:v>
      </x:c>
      <x:c r="AA5" s="37" t="n">
        <x:f>SUMIFS('Income_Statement_Data'!$E$2:$E$613,'Income_Statement_Data'!$A$2:$A$613,AA$3,'Income_Statement_Data'!$C$2:$C$613,"4000")</x:f>
        <x:v>2213943</x:v>
      </x:c>
      <x:c r="AB5" s="37" t="n">
        <x:f>SUMIFS('Income_Statement_Data'!$E$2:$E$613,'Income_Statement_Data'!$A$2:$A$613,AB$3,'Income_Statement_Data'!$C$2:$C$613,"4000")</x:f>
        <x:v>2493456</x:v>
      </x:c>
      <x:c r="AC5" s="37" t="n">
        <x:f>SUMIFS('Income_Statement_Data'!$E$2:$E$613,'Income_Statement_Data'!$A$2:$A$613,AC$3,'Income_Statement_Data'!$C$2:$C$613,"4000")</x:f>
        <x:v>2473232</x:v>
      </x:c>
      <x:c r="AD5" s="37" t="n">
        <x:f>SUMIFS('Income_Statement_Data'!$E$2:$E$613,'Income_Statement_Data'!$A$2:$A$613,AD$3,'Income_Statement_Data'!$C$2:$C$613,"4000")</x:f>
        <x:v>2603804</x:v>
      </x:c>
      <x:c r="AE5" s="37" t="n">
        <x:f>SUMIFS('Income_Statement_Data'!$E$2:$E$613,'Income_Statement_Data'!$A$2:$A$613,AE$3,'Income_Statement_Data'!$C$2:$C$613,"4000")</x:f>
        <x:v>2681943</x:v>
      </x:c>
      <x:c r="AF5" s="37" t="n">
        <x:f>SUMIFS('Income_Statement_Data'!$E$2:$E$613,'Income_Statement_Data'!$A$2:$A$613,AF$3,'Income_Statement_Data'!$C$2:$C$613,"4000")</x:f>
        <x:v>2522343</x:v>
      </x:c>
      <x:c r="AG5" s="37" t="n">
        <x:f>SUMIFS('Income_Statement_Data'!$E$2:$E$613,'Income_Statement_Data'!$A$2:$A$613,AG$3,'Income_Statement_Data'!$C$2:$C$613,"4000")</x:f>
        <x:v>2407122</x:v>
      </x:c>
      <x:c r="AH5" s="37" t="n">
        <x:f>SUMIFS('Income_Statement_Data'!$E$2:$E$613,'Income_Statement_Data'!$A$2:$A$613,AH$3,'Income_Statement_Data'!$C$2:$C$613,"4000")</x:f>
        <x:v>2757974</x:v>
      </x:c>
      <x:c r="AI5" s="37" t="n">
        <x:f>SUMIFS('Income_Statement_Data'!$E$2:$E$613,'Income_Statement_Data'!$A$2:$A$613,AI$3,'Income_Statement_Data'!$C$2:$C$613,"4000")</x:f>
        <x:v>2841711</x:v>
      </x:c>
      <x:c r="AJ5" s="37" t="n">
        <x:f>SUMIFS('Income_Statement_Data'!$E$2:$E$613,'Income_Statement_Data'!$A$2:$A$613,AJ$3,'Income_Statement_Data'!$C$2:$C$613,"4000")</x:f>
        <x:v>2946750</x:v>
      </x:c>
      <x:c r="AK5" s="37" t="n">
        <x:f>SUMIFS('Income_Statement_Data'!$E$2:$E$613,'Income_Statement_Data'!$A$2:$A$613,AK$3,'Income_Statement_Data'!$C$2:$C$613,"4000")</x:f>
        <x:v>3152985</x:v>
      </x:c>
    </x:row>
    <x:row r="6">
      <x:c r="A6" s="36" t="str">
        <x:v>Ingresos por servicios</x:v>
      </x:c>
      <x:c r="B6" s="37" t="n">
        <x:f>SUMIFS('Income_Statement_Data'!$E$2:$E$613,'Income_Statement_Data'!$A$2:$A$613,B$3,'Income_Statement_Data'!$C$2:$C$613,"4010")</x:f>
        <x:v>755009</x:v>
      </x:c>
      <x:c r="C6" s="37" t="n">
        <x:f>SUMIFS('Income_Statement_Data'!$E$2:$E$613,'Income_Statement_Data'!$A$2:$A$613,C$3,'Income_Statement_Data'!$C$2:$C$613,"4010")</x:f>
        <x:v>793937</x:v>
      </x:c>
      <x:c r="D6" s="37" t="n">
        <x:f>SUMIFS('Income_Statement_Data'!$E$2:$E$613,'Income_Statement_Data'!$A$2:$A$613,D$3,'Income_Statement_Data'!$C$2:$C$613,"4010")</x:f>
        <x:v>864531</x:v>
      </x:c>
      <x:c r="E6" s="37" t="n">
        <x:f>SUMIFS('Income_Statement_Data'!$E$2:$E$613,'Income_Statement_Data'!$A$2:$A$613,E$3,'Income_Statement_Data'!$C$2:$C$613,"4010")</x:f>
        <x:v>853282</x:v>
      </x:c>
      <x:c r="F6" s="37" t="n">
        <x:f>SUMIFS('Income_Statement_Data'!$E$2:$E$613,'Income_Statement_Data'!$A$2:$A$613,F$3,'Income_Statement_Data'!$C$2:$C$613,"4010")</x:f>
        <x:v>889432</x:v>
      </x:c>
      <x:c r="G6" s="37" t="n">
        <x:f>SUMIFS('Income_Statement_Data'!$E$2:$E$613,'Income_Statement_Data'!$A$2:$A$613,G$3,'Income_Statement_Data'!$C$2:$C$613,"4010")</x:f>
        <x:v>903508</x:v>
      </x:c>
      <x:c r="H6" s="37" t="n">
        <x:f>SUMIFS('Income_Statement_Data'!$E$2:$E$613,'Income_Statement_Data'!$A$2:$A$613,H$3,'Income_Statement_Data'!$C$2:$C$613,"4010")</x:f>
        <x:v>835984</x:v>
      </x:c>
      <x:c r="I6" s="37" t="n">
        <x:f>SUMIFS('Income_Statement_Data'!$E$2:$E$613,'Income_Statement_Data'!$A$2:$A$613,I$3,'Income_Statement_Data'!$C$2:$C$613,"4010")</x:f>
        <x:v>784301</x:v>
      </x:c>
      <x:c r="J6" s="37" t="n">
        <x:f>SUMIFS('Income_Statement_Data'!$E$2:$E$613,'Income_Statement_Data'!$A$2:$A$613,J$3,'Income_Statement_Data'!$C$2:$C$613,"4010")</x:f>
        <x:v>884403</x:v>
      </x:c>
      <x:c r="K6" s="37" t="n">
        <x:f>SUMIFS('Income_Statement_Data'!$E$2:$E$613,'Income_Statement_Data'!$A$2:$A$613,K$3,'Income_Statement_Data'!$C$2:$C$613,"4010")</x:f>
        <x:v>899494</x:v>
      </x:c>
      <x:c r="L6" s="37" t="n">
        <x:f>SUMIFS('Income_Statement_Data'!$E$2:$E$613,'Income_Statement_Data'!$A$2:$A$613,L$3,'Income_Statement_Data'!$C$2:$C$613,"4010")</x:f>
        <x:v>924923</x:v>
      </x:c>
      <x:c r="M6" s="37" t="n">
        <x:f>SUMIFS('Income_Statement_Data'!$E$2:$E$613,'Income_Statement_Data'!$A$2:$A$613,M$3,'Income_Statement_Data'!$C$2:$C$613,"4010")</x:f>
        <x:v>987015</x:v>
      </x:c>
      <x:c r="N6" s="37" t="n">
        <x:f>SUMIFS('Income_Statement_Data'!$E$2:$E$613,'Income_Statement_Data'!$A$2:$A$613,N$3,'Income_Statement_Data'!$C$2:$C$613,"4010")</x:f>
        <x:v>741493</x:v>
      </x:c>
      <x:c r="O6" s="37" t="n">
        <x:f>SUMIFS('Income_Statement_Data'!$E$2:$E$613,'Income_Statement_Data'!$A$2:$A$613,O$3,'Income_Statement_Data'!$C$2:$C$613,"4010")</x:f>
        <x:v>772243</x:v>
      </x:c>
      <x:c r="P6" s="37" t="n">
        <x:f>SUMIFS('Income_Statement_Data'!$E$2:$E$613,'Income_Statement_Data'!$A$2:$A$613,P$3,'Income_Statement_Data'!$C$2:$C$613,"4010")</x:f>
        <x:v>841856</x:v>
      </x:c>
      <x:c r="Q6" s="37" t="n">
        <x:f>SUMIFS('Income_Statement_Data'!$E$2:$E$613,'Income_Statement_Data'!$A$2:$A$613,Q$3,'Income_Statement_Data'!$C$2:$C$613,"4010")</x:f>
        <x:v>790081</x:v>
      </x:c>
      <x:c r="R6" s="37" t="n">
        <x:f>SUMIFS('Income_Statement_Data'!$E$2:$E$613,'Income_Statement_Data'!$A$2:$A$613,R$3,'Income_Statement_Data'!$C$2:$C$613,"4010")</x:f>
        <x:v>840513</x:v>
      </x:c>
      <x:c r="S6" s="37" t="n">
        <x:f>SUMIFS('Income_Statement_Data'!$E$2:$E$613,'Income_Statement_Data'!$A$2:$A$613,S$3,'Income_Statement_Data'!$C$2:$C$613,"4010")</x:f>
        <x:v>877129</x:v>
      </x:c>
      <x:c r="T6" s="37" t="n">
        <x:f>SUMIFS('Income_Statement_Data'!$E$2:$E$613,'Income_Statement_Data'!$A$2:$A$613,T$3,'Income_Statement_Data'!$C$2:$C$613,"4010")</x:f>
        <x:v>890197</x:v>
      </x:c>
      <x:c r="U6" s="37" t="n">
        <x:f>SUMIFS('Income_Statement_Data'!$E$2:$E$613,'Income_Statement_Data'!$A$2:$A$613,U$3,'Income_Statement_Data'!$C$2:$C$613,"4010")</x:f>
        <x:v>861493</x:v>
      </x:c>
      <x:c r="V6" s="37" t="n">
        <x:f>SUMIFS('Income_Statement_Data'!$E$2:$E$613,'Income_Statement_Data'!$A$2:$A$613,V$3,'Income_Statement_Data'!$C$2:$C$613,"4010")</x:f>
        <x:v>999290</x:v>
      </x:c>
      <x:c r="W6" s="37" t="n">
        <x:f>SUMIFS('Income_Statement_Data'!$E$2:$E$613,'Income_Statement_Data'!$A$2:$A$613,W$3,'Income_Statement_Data'!$C$2:$C$613,"4010")</x:f>
        <x:v>1039431</x:v>
      </x:c>
      <x:c r="X6" s="37" t="n">
        <x:f>SUMIFS('Income_Statement_Data'!$E$2:$E$613,'Income_Statement_Data'!$A$2:$A$613,X$3,'Income_Statement_Data'!$C$2:$C$613,"4010")</x:f>
        <x:v>1084050</x:v>
      </x:c>
      <x:c r="Y6" s="37" t="n">
        <x:f>SUMIFS('Income_Statement_Data'!$E$2:$E$613,'Income_Statement_Data'!$A$2:$A$613,Y$3,'Income_Statement_Data'!$C$2:$C$613,"4010")</x:f>
        <x:v>1161576</x:v>
      </x:c>
      <x:c r="Z6" s="37" t="n">
        <x:f>SUMIFS('Income_Statement_Data'!$E$2:$E$613,'Income_Statement_Data'!$A$2:$A$613,Z$3,'Income_Statement_Data'!$C$2:$C$613,"4010")</x:f>
        <x:v>866829</x:v>
      </x:c>
      <x:c r="AA6" s="37" t="n">
        <x:f>SUMIFS('Income_Statement_Data'!$E$2:$E$613,'Income_Statement_Data'!$A$2:$A$613,AA$3,'Income_Statement_Data'!$C$2:$C$613,"4010")</x:f>
        <x:v>887607</x:v>
      </x:c>
      <x:c r="AB6" s="37" t="n">
        <x:f>SUMIFS('Income_Statement_Data'!$E$2:$E$613,'Income_Statement_Data'!$A$2:$A$613,AB$3,'Income_Statement_Data'!$C$2:$C$613,"4010")</x:f>
        <x:v>976278</x:v>
      </x:c>
      <x:c r="AC6" s="37" t="n">
        <x:f>SUMIFS('Income_Statement_Data'!$E$2:$E$613,'Income_Statement_Data'!$A$2:$A$613,AC$3,'Income_Statement_Data'!$C$2:$C$613,"4010")</x:f>
        <x:v>944756</x:v>
      </x:c>
      <x:c r="AD6" s="37" t="n">
        <x:f>SUMIFS('Income_Statement_Data'!$E$2:$E$613,'Income_Statement_Data'!$A$2:$A$613,AD$3,'Income_Statement_Data'!$C$2:$C$613,"4010")</x:f>
        <x:v>972063</x:v>
      </x:c>
      <x:c r="AE6" s="37" t="n">
        <x:f>SUMIFS('Income_Statement_Data'!$E$2:$E$613,'Income_Statement_Data'!$A$2:$A$613,AE$3,'Income_Statement_Data'!$C$2:$C$613,"4010")</x:f>
        <x:v>982768</x:v>
      </x:c>
      <x:c r="AF6" s="37" t="n">
        <x:f>SUMIFS('Income_Statement_Data'!$E$2:$E$613,'Income_Statement_Data'!$A$2:$A$613,AF$3,'Income_Statement_Data'!$C$2:$C$613,"4010")</x:f>
        <x:v>913174</x:v>
      </x:c>
      <x:c r="AG6" s="37" t="n">
        <x:f>SUMIFS('Income_Statement_Data'!$E$2:$E$613,'Income_Statement_Data'!$A$2:$A$613,AG$3,'Income_Statement_Data'!$C$2:$C$613,"4010")</x:f>
        <x:v>867875</x:v>
      </x:c>
      <x:c r="AH6" s="37" t="n">
        <x:f>SUMIFS('Income_Statement_Data'!$E$2:$E$613,'Income_Statement_Data'!$A$2:$A$613,AH$3,'Income_Statement_Data'!$C$2:$C$613,"4010")</x:f>
        <x:v>998703</x:v>
      </x:c>
      <x:c r="AI6" s="37" t="n">
        <x:f>SUMIFS('Income_Statement_Data'!$E$2:$E$613,'Income_Statement_Data'!$A$2:$A$613,AI$3,'Income_Statement_Data'!$C$2:$C$613,"4010")</x:f>
        <x:v>1041750</x:v>
      </x:c>
      <x:c r="AJ6" s="37" t="n">
        <x:f>SUMIFS('Income_Statement_Data'!$E$2:$E$613,'Income_Statement_Data'!$A$2:$A$613,AJ$3,'Income_Statement_Data'!$C$2:$C$613,"4010")</x:f>
        <x:v>1100713</x:v>
      </x:c>
      <x:c r="AK6" s="37" t="n">
        <x:f>SUMIFS('Income_Statement_Data'!$E$2:$E$613,'Income_Statement_Data'!$A$2:$A$613,AK$3,'Income_Statement_Data'!$C$2:$C$613,"4010")</x:f>
        <x:v>1205193</x:v>
      </x:c>
    </x:row>
    <x:row r="7">
      <x:c r="A7" s="38" t="str">
        <x:v>Ingresos totales</x:v>
      </x:c>
      <x:c r="B7" s="39" t="n">
        <x:f>SUM(B5:B6)</x:f>
        <x:v>2610000</x:v>
      </x:c>
      <x:c r="C7" s="39" t="n">
        <x:f>SUM(C5:C6)</x:f>
        <x:v>2713182</x:v>
      </x:c>
      <x:c r="D7" s="39" t="n">
        <x:f>SUM(D5:D6)</x:f>
        <x:v>2934800</x:v>
      </x:c>
      <x:c r="E7" s="39" t="n">
        <x:f>SUM(E5:E6)</x:f>
        <x:v>2893156</x:v>
      </x:c>
      <x:c r="F7" s="39" t="n">
        <x:f>SUM(F5:F6)</x:f>
        <x:v>3028992</x:v>
      </x:c>
      <x:c r="G7" s="39" t="n">
        <x:f>SUM(G5:G6)</x:f>
        <x:v>3106480</x:v>
      </x:c>
      <x:c r="H7" s="39" t="n">
        <x:f>SUM(H5:H6)</x:f>
        <x:v>2914268</x:v>
      </x:c>
      <x:c r="I7" s="39" t="n">
        <x:f>SUM(I5:I6)</x:f>
        <x:v>2780056</x:v>
      </x:c>
      <x:c r="J7" s="39" t="n">
        <x:f>SUM(J5:J6)</x:f>
        <x:v>3191160</x:v>
      </x:c>
      <x:c r="K7" s="39" t="n">
        <x:f>SUM(K5:K6)</x:f>
        <x:v>3301128</x:v>
      </x:c>
      <x:c r="L7" s="39" t="n">
        <x:f>SUM(L5:L6)</x:f>
        <x:v>3442880</x:v>
      </x:c>
      <x:c r="M7" s="39" t="n">
        <x:f>SUM(M5:M6)</x:f>
        <x:v>3709680</x:v>
      </x:c>
      <x:c r="N7" s="39" t="n">
        <x:f>SUM(N5:N6)</x:f>
        <x:v>2797920</x:v>
      </x:c>
      <x:c r="O7" s="39" t="n">
        <x:f>SUM(O5:O6)</x:f>
        <x:v>2907366</x:v>
      </x:c>
      <x:c r="P7" s="39" t="n">
        <x:f>SUM(P5:P6)</x:f>
        <x:v>3143600</x:v>
      </x:c>
      <x:c r="Q7" s="39" t="n">
        <x:f>SUM(Q5:Q6)</x:f>
        <x:v>2911913</x:v>
      </x:c>
      <x:c r="R7" s="39" t="n">
        <x:f>SUM(R5:R6)</x:f>
        <x:v>3047450</x:v>
      </x:c>
      <x:c r="S7" s="39" t="n">
        <x:f>SUM(S5:S6)</x:f>
        <x:v>3124214</x:v>
      </x:c>
      <x:c r="T7" s="39" t="n">
        <x:f>SUM(T5:T6)</x:f>
        <x:v>3116804</x:v>
      </x:c>
      <x:c r="U7" s="39" t="n">
        <x:f>SUM(U5:U6)</x:f>
        <x:v>2972152</x:v>
      </x:c>
      <x:c r="V7" s="39" t="n">
        <x:f>SUM(V5:V6)</x:f>
        <x:v>3410400</x:v>
      </x:c>
      <x:c r="W7" s="39" t="n">
        <x:f>SUM(W5:W6)</x:f>
        <x:v>3526632</x:v>
      </x:c>
      <x:c r="X7" s="39" t="n">
        <x:f>SUM(X5:X6)</x:f>
        <x:v>3676736</x:v>
      </x:c>
      <x:c r="Y7" s="39" t="n">
        <x:f>SUM(Y5:Y6)</x:f>
        <x:v>3960240</x:v>
      </x:c>
      <x:c r="Z7" s="39" t="n">
        <x:f>SUM(Z5:Z6)</x:f>
        <x:v>2985840</x:v>
      </x:c>
      <x:c r="AA7" s="39" t="n">
        <x:f>SUM(AA5:AA6)</x:f>
        <x:v>3101550</x:v>
      </x:c>
      <x:c r="AB7" s="39" t="n">
        <x:f>SUM(AB5:AB6)</x:f>
        <x:v>3469734</x:v>
      </x:c>
      <x:c r="AC7" s="39" t="n">
        <x:f>SUM(AC5:AC6)</x:f>
        <x:v>3417988</x:v>
      </x:c>
      <x:c r="AD7" s="39" t="n">
        <x:f>SUM(AD5:AD6)</x:f>
        <x:v>3575867</x:v>
      </x:c>
      <x:c r="AE7" s="39" t="n">
        <x:f>SUM(AE5:AE6)</x:f>
        <x:v>3664711</x:v>
      </x:c>
      <x:c r="AF7" s="39" t="n">
        <x:f>SUM(AF5:AF6)</x:f>
        <x:v>3435517</x:v>
      </x:c>
      <x:c r="AG7" s="39" t="n">
        <x:f>SUM(AG5:AG6)</x:f>
        <x:v>3274997</x:v>
      </x:c>
      <x:c r="AH7" s="39" t="n">
        <x:f>SUM(AH5:AH6)</x:f>
        <x:v>3756677</x:v>
      </x:c>
      <x:c r="AI7" s="39" t="n">
        <x:f>SUM(AI5:AI6)</x:f>
        <x:v>3883461</x:v>
      </x:c>
      <x:c r="AJ7" s="39" t="n">
        <x:f>SUM(AJ5:AJ6)</x:f>
        <x:v>4047463</x:v>
      </x:c>
      <x:c r="AK7" s="39" t="n">
        <x:f>SUM(AK5:AK6)</x:f>
        <x:v>4358178</x:v>
      </x:c>
    </x:row>
    <x:row r="8">
      <x:c r="A8" s="36" t="str">
        <x:v>Materiales directos</x:v>
      </x:c>
      <x:c r="B8" s="37" t="n">
        <x:f>SUMIFS('Income_Statement_Data'!$E$2:$E$613,'Income_Statement_Data'!$A$2:$A$613,B$3,'Income_Statement_Data'!$C$2:$C$613,"5000")</x:f>
        <x:v>-952650</x:v>
      </x:c>
      <x:c r="C8" s="37" t="n">
        <x:f>SUMIFS('Income_Statement_Data'!$E$2:$E$613,'Income_Statement_Data'!$A$2:$A$613,C$3,'Income_Statement_Data'!$C$2:$C$613,"5000")</x:f>
        <x:v>-990311</x:v>
      </x:c>
      <x:c r="D8" s="37" t="n">
        <x:f>SUMIFS('Income_Statement_Data'!$E$2:$E$613,'Income_Statement_Data'!$A$2:$A$613,D$3,'Income_Statement_Data'!$C$2:$C$613,"5000")</x:f>
        <x:v>-1071202</x:v>
      </x:c>
      <x:c r="E8" s="37" t="n">
        <x:f>SUMIFS('Income_Statement_Data'!$E$2:$E$613,'Income_Statement_Data'!$A$2:$A$613,E$3,'Income_Statement_Data'!$C$2:$C$613,"5000")</x:f>
        <x:v>-1056002</x:v>
      </x:c>
      <x:c r="F8" s="37" t="n">
        <x:f>SUMIFS('Income_Statement_Data'!$E$2:$E$613,'Income_Statement_Data'!$A$2:$A$613,F$3,'Income_Statement_Data'!$C$2:$C$613,"5000")</x:f>
        <x:v>-1105582</x:v>
      </x:c>
      <x:c r="G8" s="37" t="n">
        <x:f>SUMIFS('Income_Statement_Data'!$E$2:$E$613,'Income_Statement_Data'!$A$2:$A$613,G$3,'Income_Statement_Data'!$C$2:$C$613,"5000")</x:f>
        <x:v>-1133865</x:v>
      </x:c>
      <x:c r="H8" s="37" t="n">
        <x:f>SUMIFS('Income_Statement_Data'!$E$2:$E$613,'Income_Statement_Data'!$A$2:$A$613,H$3,'Income_Statement_Data'!$C$2:$C$613,"5000")</x:f>
        <x:v>-1063708</x:v>
      </x:c>
      <x:c r="I8" s="37" t="n">
        <x:f>SUMIFS('Income_Statement_Data'!$E$2:$E$613,'Income_Statement_Data'!$A$2:$A$613,I$3,'Income_Statement_Data'!$C$2:$C$613,"5000")</x:f>
        <x:v>-1014720</x:v>
      </x:c>
      <x:c r="J8" s="37" t="n">
        <x:f>SUMIFS('Income_Statement_Data'!$E$2:$E$613,'Income_Statement_Data'!$A$2:$A$613,J$3,'Income_Statement_Data'!$C$2:$C$613,"5000")</x:f>
        <x:v>-1164773</x:v>
      </x:c>
      <x:c r="K8" s="37" t="n">
        <x:f>SUMIFS('Income_Statement_Data'!$E$2:$E$613,'Income_Statement_Data'!$A$2:$A$613,K$3,'Income_Statement_Data'!$C$2:$C$613,"5000")</x:f>
        <x:v>-1204912</x:v>
      </x:c>
      <x:c r="L8" s="37" t="n">
        <x:f>SUMIFS('Income_Statement_Data'!$E$2:$E$613,'Income_Statement_Data'!$A$2:$A$613,L$3,'Income_Statement_Data'!$C$2:$C$613,"5000")</x:f>
        <x:v>-1256651</x:v>
      </x:c>
      <x:c r="M8" s="37" t="n">
        <x:f>SUMIFS('Income_Statement_Data'!$E$2:$E$613,'Income_Statement_Data'!$A$2:$A$613,M$3,'Income_Statement_Data'!$C$2:$C$613,"5000")</x:f>
        <x:v>-1354033</x:v>
      </x:c>
      <x:c r="N8" s="37" t="n">
        <x:f>SUMIFS('Income_Statement_Data'!$E$2:$E$613,'Income_Statement_Data'!$A$2:$A$613,N$3,'Income_Statement_Data'!$C$2:$C$613,"5000")</x:f>
        <x:v>-1021241</x:v>
      </x:c>
      <x:c r="O8" s="37" t="n">
        <x:f>SUMIFS('Income_Statement_Data'!$E$2:$E$613,'Income_Statement_Data'!$A$2:$A$613,O$3,'Income_Statement_Data'!$C$2:$C$613,"5000")</x:f>
        <x:v>-1061189</x:v>
      </x:c>
      <x:c r="P8" s="37" t="n">
        <x:f>SUMIFS('Income_Statement_Data'!$E$2:$E$613,'Income_Statement_Data'!$A$2:$A$613,P$3,'Income_Statement_Data'!$C$2:$C$613,"5000")</x:f>
        <x:v>-1147414</x:v>
      </x:c>
      <x:c r="Q8" s="37" t="n">
        <x:f>SUMIFS('Income_Statement_Data'!$E$2:$E$613,'Income_Statement_Data'!$A$2:$A$613,Q$3,'Income_Statement_Data'!$C$2:$C$613,"5000")</x:f>
        <x:v>-1115263</x:v>
      </x:c>
      <x:c r="R8" s="37" t="n">
        <x:f>SUMIFS('Income_Statement_Data'!$E$2:$E$613,'Income_Statement_Data'!$A$2:$A$613,R$3,'Income_Statement_Data'!$C$2:$C$613,"5000")</x:f>
        <x:v>-1167173</x:v>
      </x:c>
      <x:c r="S8" s="37" t="n">
        <x:f>SUMIFS('Income_Statement_Data'!$E$2:$E$613,'Income_Statement_Data'!$A$2:$A$613,S$3,'Income_Statement_Data'!$C$2:$C$613,"5000")</x:f>
        <x:v>-1196574</x:v>
      </x:c>
      <x:c r="T8" s="37" t="n">
        <x:f>SUMIFS('Income_Statement_Data'!$E$2:$E$613,'Income_Statement_Data'!$A$2:$A$613,T$3,'Income_Statement_Data'!$C$2:$C$613,"5000")</x:f>
        <x:v>-1193736</x:v>
      </x:c>
      <x:c r="U8" s="37" t="n">
        <x:f>SUMIFS('Income_Statement_Data'!$E$2:$E$613,'Income_Statement_Data'!$A$2:$A$613,U$3,'Income_Statement_Data'!$C$2:$C$613,"5000")</x:f>
        <x:v>-1084835</x:v>
      </x:c>
      <x:c r="V8" s="37" t="n">
        <x:f>SUMIFS('Income_Statement_Data'!$E$2:$E$613,'Income_Statement_Data'!$A$2:$A$613,V$3,'Income_Statement_Data'!$C$2:$C$613,"5000")</x:f>
        <x:v>-1244796</x:v>
      </x:c>
      <x:c r="W8" s="37" t="n">
        <x:f>SUMIFS('Income_Statement_Data'!$E$2:$E$613,'Income_Statement_Data'!$A$2:$A$613,W$3,'Income_Statement_Data'!$C$2:$C$613,"5000")</x:f>
        <x:v>-1287221</x:v>
      </x:c>
      <x:c r="X8" s="37" t="n">
        <x:f>SUMIFS('Income_Statement_Data'!$E$2:$E$613,'Income_Statement_Data'!$A$2:$A$613,X$3,'Income_Statement_Data'!$C$2:$C$613,"5000")</x:f>
        <x:v>-1342009</x:v>
      </x:c>
      <x:c r="Y8" s="37" t="n">
        <x:f>SUMIFS('Income_Statement_Data'!$E$2:$E$613,'Income_Statement_Data'!$A$2:$A$613,Y$3,'Income_Statement_Data'!$C$2:$C$613,"5000")</x:f>
        <x:v>-1445488</x:v>
      </x:c>
      <x:c r="Z8" s="37" t="n">
        <x:f>SUMIFS('Income_Statement_Data'!$E$2:$E$613,'Income_Statement_Data'!$A$2:$A$613,Z$3,'Income_Statement_Data'!$C$2:$C$613,"5000")</x:f>
        <x:v>-1089832</x:v>
      </x:c>
      <x:c r="AA8" s="37" t="n">
        <x:f>SUMIFS('Income_Statement_Data'!$E$2:$E$613,'Income_Statement_Data'!$A$2:$A$613,AA$3,'Income_Statement_Data'!$C$2:$C$613,"5000")</x:f>
        <x:v>-1132066</x:v>
      </x:c>
      <x:c r="AB8" s="37" t="n">
        <x:f>SUMIFS('Income_Statement_Data'!$E$2:$E$613,'Income_Statement_Data'!$A$2:$A$613,AB$3,'Income_Statement_Data'!$C$2:$C$613,"5000")</x:f>
        <x:v>-1266453</x:v>
      </x:c>
      <x:c r="AC8" s="37" t="n">
        <x:f>SUMIFS('Income_Statement_Data'!$E$2:$E$613,'Income_Statement_Data'!$A$2:$A$613,AC$3,'Income_Statement_Data'!$C$2:$C$613,"5000")</x:f>
        <x:v>-1206550</x:v>
      </x:c>
      <x:c r="AD8" s="37" t="n">
        <x:f>SUMIFS('Income_Statement_Data'!$E$2:$E$613,'Income_Statement_Data'!$A$2:$A$613,AD$3,'Income_Statement_Data'!$C$2:$C$613,"5000")</x:f>
        <x:v>-1262281</x:v>
      </x:c>
      <x:c r="AE8" s="37" t="n">
        <x:f>SUMIFS('Income_Statement_Data'!$E$2:$E$613,'Income_Statement_Data'!$A$2:$A$613,AE$3,'Income_Statement_Data'!$C$2:$C$613,"5000")</x:f>
        <x:v>-1293643</x:v>
      </x:c>
      <x:c r="AF8" s="37" t="n">
        <x:f>SUMIFS('Income_Statement_Data'!$E$2:$E$613,'Income_Statement_Data'!$A$2:$A$613,AF$3,'Income_Statement_Data'!$C$2:$C$613,"5000")</x:f>
        <x:v>-1212738</x:v>
      </x:c>
      <x:c r="AG8" s="37" t="n">
        <x:f>SUMIFS('Income_Statement_Data'!$E$2:$E$613,'Income_Statement_Data'!$A$2:$A$613,AG$3,'Income_Statement_Data'!$C$2:$C$613,"5000")</x:f>
        <x:v>-1156074</x:v>
      </x:c>
      <x:c r="AH8" s="37" t="n">
        <x:f>SUMIFS('Income_Statement_Data'!$E$2:$E$613,'Income_Statement_Data'!$A$2:$A$613,AH$3,'Income_Statement_Data'!$C$2:$C$613,"5000")</x:f>
        <x:v>-1326107</x:v>
      </x:c>
      <x:c r="AI8" s="37" t="n">
        <x:f>SUMIFS('Income_Statement_Data'!$E$2:$E$613,'Income_Statement_Data'!$A$2:$A$613,AI$3,'Income_Statement_Data'!$C$2:$C$613,"5000")</x:f>
        <x:v>-1370862</x:v>
      </x:c>
      <x:c r="AJ8" s="37" t="n">
        <x:f>SUMIFS('Income_Statement_Data'!$E$2:$E$613,'Income_Statement_Data'!$A$2:$A$613,AJ$3,'Income_Statement_Data'!$C$2:$C$613,"5000")</x:f>
        <x:v>-1428754</x:v>
      </x:c>
      <x:c r="AK8" s="37" t="n">
        <x:f>SUMIFS('Income_Statement_Data'!$E$2:$E$613,'Income_Statement_Data'!$A$2:$A$613,AK$3,'Income_Statement_Data'!$C$2:$C$613,"5000")</x:f>
        <x:v>-1538437</x:v>
      </x:c>
    </x:row>
    <x:row r="9">
      <x:c r="A9" s="36" t="str">
        <x:v>Mano de obra directa</x:v>
      </x:c>
      <x:c r="B9" s="37" t="n">
        <x:f>SUMIFS('Income_Statement_Data'!$E$2:$E$613,'Income_Statement_Data'!$A$2:$A$613,B$3,'Income_Statement_Data'!$C$2:$C$613,"5010")</x:f>
        <x:v>-456750</x:v>
      </x:c>
      <x:c r="C9" s="37" t="n">
        <x:f>SUMIFS('Income_Statement_Data'!$E$2:$E$613,'Income_Statement_Data'!$A$2:$A$613,C$3,'Income_Statement_Data'!$C$2:$C$613,"5010")</x:f>
        <x:v>-474807</x:v>
      </x:c>
      <x:c r="D9" s="37" t="n">
        <x:f>SUMIFS('Income_Statement_Data'!$E$2:$E$613,'Income_Statement_Data'!$A$2:$A$613,D$3,'Income_Statement_Data'!$C$2:$C$613,"5010")</x:f>
        <x:v>-513590</x:v>
      </x:c>
      <x:c r="E9" s="37" t="n">
        <x:f>SUMIFS('Income_Statement_Data'!$E$2:$E$613,'Income_Statement_Data'!$A$2:$A$613,E$3,'Income_Statement_Data'!$C$2:$C$613,"5010")</x:f>
        <x:v>-506302</x:v>
      </x:c>
      <x:c r="F9" s="37" t="n">
        <x:f>SUMIFS('Income_Statement_Data'!$E$2:$E$613,'Income_Statement_Data'!$A$2:$A$613,F$3,'Income_Statement_Data'!$C$2:$C$613,"5010")</x:f>
        <x:v>-530074</x:v>
      </x:c>
      <x:c r="G9" s="37" t="n">
        <x:f>SUMIFS('Income_Statement_Data'!$E$2:$E$613,'Income_Statement_Data'!$A$2:$A$613,G$3,'Income_Statement_Data'!$C$2:$C$613,"5010")</x:f>
        <x:v>-543634</x:v>
      </x:c>
      <x:c r="H9" s="37" t="n">
        <x:f>SUMIFS('Income_Statement_Data'!$E$2:$E$613,'Income_Statement_Data'!$A$2:$A$613,H$3,'Income_Statement_Data'!$C$2:$C$613,"5010")</x:f>
        <x:v>-509997</x:v>
      </x:c>
      <x:c r="I9" s="37" t="n">
        <x:f>SUMIFS('Income_Statement_Data'!$E$2:$E$613,'Income_Statement_Data'!$A$2:$A$613,I$3,'Income_Statement_Data'!$C$2:$C$613,"5010")</x:f>
        <x:v>-486510</x:v>
      </x:c>
      <x:c r="J9" s="37" t="n">
        <x:f>SUMIFS('Income_Statement_Data'!$E$2:$E$613,'Income_Statement_Data'!$A$2:$A$613,J$3,'Income_Statement_Data'!$C$2:$C$613,"5010")</x:f>
        <x:v>-558453</x:v>
      </x:c>
      <x:c r="K9" s="37" t="n">
        <x:f>SUMIFS('Income_Statement_Data'!$E$2:$E$613,'Income_Statement_Data'!$A$2:$A$613,K$3,'Income_Statement_Data'!$C$2:$C$613,"5010")</x:f>
        <x:v>-577697</x:v>
      </x:c>
      <x:c r="L9" s="37" t="n">
        <x:f>SUMIFS('Income_Statement_Data'!$E$2:$E$613,'Income_Statement_Data'!$A$2:$A$613,L$3,'Income_Statement_Data'!$C$2:$C$613,"5010")</x:f>
        <x:v>-602504</x:v>
      </x:c>
      <x:c r="M9" s="37" t="n">
        <x:f>SUMIFS('Income_Statement_Data'!$E$2:$E$613,'Income_Statement_Data'!$A$2:$A$613,M$3,'Income_Statement_Data'!$C$2:$C$613,"5010")</x:f>
        <x:v>-649194</x:v>
      </x:c>
      <x:c r="N9" s="37" t="n">
        <x:f>SUMIFS('Income_Statement_Data'!$E$2:$E$613,'Income_Statement_Data'!$A$2:$A$613,N$3,'Income_Statement_Data'!$C$2:$C$613,"5010")</x:f>
        <x:v>-489636</x:v>
      </x:c>
      <x:c r="O9" s="37" t="n">
        <x:f>SUMIFS('Income_Statement_Data'!$E$2:$E$613,'Income_Statement_Data'!$A$2:$A$613,O$3,'Income_Statement_Data'!$C$2:$C$613,"5010")</x:f>
        <x:v>-508789</x:v>
      </x:c>
      <x:c r="P9" s="37" t="n">
        <x:f>SUMIFS('Income_Statement_Data'!$E$2:$E$613,'Income_Statement_Data'!$A$2:$A$613,P$3,'Income_Statement_Data'!$C$2:$C$613,"5010")</x:f>
        <x:v>-550130</x:v>
      </x:c>
      <x:c r="Q9" s="37" t="n">
        <x:f>SUMIFS('Income_Statement_Data'!$E$2:$E$613,'Income_Statement_Data'!$A$2:$A$613,Q$3,'Income_Statement_Data'!$C$2:$C$613,"5010")</x:f>
        <x:v>-509585</x:v>
      </x:c>
      <x:c r="R9" s="37" t="n">
        <x:f>SUMIFS('Income_Statement_Data'!$E$2:$E$613,'Income_Statement_Data'!$A$2:$A$613,R$3,'Income_Statement_Data'!$C$2:$C$613,"5010")</x:f>
        <x:v>-533304</x:v>
      </x:c>
      <x:c r="S9" s="37" t="n">
        <x:f>SUMIFS('Income_Statement_Data'!$E$2:$E$613,'Income_Statement_Data'!$A$2:$A$613,S$3,'Income_Statement_Data'!$C$2:$C$613,"5010")</x:f>
        <x:v>-546737</x:v>
      </x:c>
      <x:c r="T9" s="37" t="n">
        <x:f>SUMIFS('Income_Statement_Data'!$E$2:$E$613,'Income_Statement_Data'!$A$2:$A$613,T$3,'Income_Statement_Data'!$C$2:$C$613,"5010")</x:f>
        <x:v>-545441</x:v>
      </x:c>
      <x:c r="U9" s="37" t="n">
        <x:f>SUMIFS('Income_Statement_Data'!$E$2:$E$613,'Income_Statement_Data'!$A$2:$A$613,U$3,'Income_Statement_Data'!$C$2:$C$613,"5010")</x:f>
        <x:v>-520127</x:v>
      </x:c>
      <x:c r="V9" s="37" t="n">
        <x:f>SUMIFS('Income_Statement_Data'!$E$2:$E$613,'Income_Statement_Data'!$A$2:$A$613,V$3,'Income_Statement_Data'!$C$2:$C$613,"5010")</x:f>
        <x:v>-596820</x:v>
      </x:c>
      <x:c r="W9" s="37" t="n">
        <x:f>SUMIFS('Income_Statement_Data'!$E$2:$E$613,'Income_Statement_Data'!$A$2:$A$613,W$3,'Income_Statement_Data'!$C$2:$C$613,"5010")</x:f>
        <x:v>-617161</x:v>
      </x:c>
      <x:c r="X9" s="37" t="n">
        <x:f>SUMIFS('Income_Statement_Data'!$E$2:$E$613,'Income_Statement_Data'!$A$2:$A$613,X$3,'Income_Statement_Data'!$C$2:$C$613,"5010")</x:f>
        <x:v>-643429</x:v>
      </x:c>
      <x:c r="Y9" s="37" t="n">
        <x:f>SUMIFS('Income_Statement_Data'!$E$2:$E$613,'Income_Statement_Data'!$A$2:$A$613,Y$3,'Income_Statement_Data'!$C$2:$C$613,"5010")</x:f>
        <x:v>-693042</x:v>
      </x:c>
      <x:c r="Z9" s="37" t="n">
        <x:f>SUMIFS('Income_Statement_Data'!$E$2:$E$613,'Income_Statement_Data'!$A$2:$A$613,Z$3,'Income_Statement_Data'!$C$2:$C$613,"5010")</x:f>
        <x:v>-522522</x:v>
      </x:c>
      <x:c r="AA9" s="37" t="n">
        <x:f>SUMIFS('Income_Statement_Data'!$E$2:$E$613,'Income_Statement_Data'!$A$2:$A$613,AA$3,'Income_Statement_Data'!$C$2:$C$613,"5010")</x:f>
        <x:v>-542771</x:v>
      </x:c>
      <x:c r="AB9" s="37" t="n">
        <x:f>SUMIFS('Income_Statement_Data'!$E$2:$E$613,'Income_Statement_Data'!$A$2:$A$613,AB$3,'Income_Statement_Data'!$C$2:$C$613,"5010")</x:f>
        <x:v>-607203</x:v>
      </x:c>
      <x:c r="AC9" s="37" t="n">
        <x:f>SUMIFS('Income_Statement_Data'!$E$2:$E$613,'Income_Statement_Data'!$A$2:$A$613,AC$3,'Income_Statement_Data'!$C$2:$C$613,"5010")</x:f>
        <x:v>-598148</x:v>
      </x:c>
      <x:c r="AD9" s="37" t="n">
        <x:f>SUMIFS('Income_Statement_Data'!$E$2:$E$613,'Income_Statement_Data'!$A$2:$A$613,AD$3,'Income_Statement_Data'!$C$2:$C$613,"5010")</x:f>
        <x:v>-625777</x:v>
      </x:c>
      <x:c r="AE9" s="37" t="n">
        <x:f>SUMIFS('Income_Statement_Data'!$E$2:$E$613,'Income_Statement_Data'!$A$2:$A$613,AE$3,'Income_Statement_Data'!$C$2:$C$613,"5010")</x:f>
        <x:v>-641324</x:v>
      </x:c>
      <x:c r="AF9" s="37" t="n">
        <x:f>SUMIFS('Income_Statement_Data'!$E$2:$E$613,'Income_Statement_Data'!$A$2:$A$613,AF$3,'Income_Statement_Data'!$C$2:$C$613,"5010")</x:f>
        <x:v>-601215</x:v>
      </x:c>
      <x:c r="AG9" s="37" t="n">
        <x:f>SUMIFS('Income_Statement_Data'!$E$2:$E$613,'Income_Statement_Data'!$A$2:$A$613,AG$3,'Income_Statement_Data'!$C$2:$C$613,"5010")</x:f>
        <x:v>-573124</x:v>
      </x:c>
      <x:c r="AH9" s="37" t="n">
        <x:f>SUMIFS('Income_Statement_Data'!$E$2:$E$613,'Income_Statement_Data'!$A$2:$A$613,AH$3,'Income_Statement_Data'!$C$2:$C$613,"5010")</x:f>
        <x:v>-657418</x:v>
      </x:c>
      <x:c r="AI9" s="37" t="n">
        <x:f>SUMIFS('Income_Statement_Data'!$E$2:$E$613,'Income_Statement_Data'!$A$2:$A$613,AI$3,'Income_Statement_Data'!$C$2:$C$613,"5010")</x:f>
        <x:v>-679606</x:v>
      </x:c>
      <x:c r="AJ9" s="37" t="n">
        <x:f>SUMIFS('Income_Statement_Data'!$E$2:$E$613,'Income_Statement_Data'!$A$2:$A$613,AJ$3,'Income_Statement_Data'!$C$2:$C$613,"5010")</x:f>
        <x:v>-708306</x:v>
      </x:c>
      <x:c r="AK9" s="37" t="n">
        <x:f>SUMIFS('Income_Statement_Data'!$E$2:$E$613,'Income_Statement_Data'!$A$2:$A$613,AK$3,'Income_Statement_Data'!$C$2:$C$613,"5010")</x:f>
        <x:v>-762681</x:v>
      </x:c>
    </x:row>
    <x:row r="10">
      <x:c r="A10" s="36" t="str">
        <x:v>Logística y subcontratación</x:v>
      </x:c>
      <x:c r="B10" s="37" t="n">
        <x:f>SUMIFS('Income_Statement_Data'!$E$2:$E$613,'Income_Statement_Data'!$A$2:$A$613,B$3,'Income_Statement_Data'!$C$2:$C$613,"5020")</x:f>
        <x:v>-161820</x:v>
      </x:c>
      <x:c r="C10" s="37" t="n">
        <x:f>SUMIFS('Income_Statement_Data'!$E$2:$E$613,'Income_Statement_Data'!$A$2:$A$613,C$3,'Income_Statement_Data'!$C$2:$C$613,"5020")</x:f>
        <x:v>-168217</x:v>
      </x:c>
      <x:c r="D10" s="37" t="n">
        <x:f>SUMIFS('Income_Statement_Data'!$E$2:$E$613,'Income_Statement_Data'!$A$2:$A$613,D$3,'Income_Statement_Data'!$C$2:$C$613,"5020")</x:f>
        <x:v>-181958</x:v>
      </x:c>
      <x:c r="E10" s="37" t="n">
        <x:f>SUMIFS('Income_Statement_Data'!$E$2:$E$613,'Income_Statement_Data'!$A$2:$A$613,E$3,'Income_Statement_Data'!$C$2:$C$613,"5020")</x:f>
        <x:v>-179376</x:v>
      </x:c>
      <x:c r="F10" s="37" t="n">
        <x:f>SUMIFS('Income_Statement_Data'!$E$2:$E$613,'Income_Statement_Data'!$A$2:$A$613,F$3,'Income_Statement_Data'!$C$2:$C$613,"5020")</x:f>
        <x:v>-187798</x:v>
      </x:c>
      <x:c r="G10" s="37" t="n">
        <x:f>SUMIFS('Income_Statement_Data'!$E$2:$E$613,'Income_Statement_Data'!$A$2:$A$613,G$3,'Income_Statement_Data'!$C$2:$C$613,"5020")</x:f>
        <x:v>-192602</x:v>
      </x:c>
      <x:c r="H10" s="37" t="n">
        <x:f>SUMIFS('Income_Statement_Data'!$E$2:$E$613,'Income_Statement_Data'!$A$2:$A$613,H$3,'Income_Statement_Data'!$C$2:$C$613,"5020")</x:f>
        <x:v>-180685</x:v>
      </x:c>
      <x:c r="I10" s="37" t="n">
        <x:f>SUMIFS('Income_Statement_Data'!$E$2:$E$613,'Income_Statement_Data'!$A$2:$A$613,I$3,'Income_Statement_Data'!$C$2:$C$613,"5020")</x:f>
        <x:v>-172363</x:v>
      </x:c>
      <x:c r="J10" s="37" t="n">
        <x:f>SUMIFS('Income_Statement_Data'!$E$2:$E$613,'Income_Statement_Data'!$A$2:$A$613,J$3,'Income_Statement_Data'!$C$2:$C$613,"5020")</x:f>
        <x:v>-197852</x:v>
      </x:c>
      <x:c r="K10" s="37" t="n">
        <x:f>SUMIFS('Income_Statement_Data'!$E$2:$E$613,'Income_Statement_Data'!$A$2:$A$613,K$3,'Income_Statement_Data'!$C$2:$C$613,"5020")</x:f>
        <x:v>-204670</x:v>
      </x:c>
      <x:c r="L10" s="37" t="n">
        <x:f>SUMIFS('Income_Statement_Data'!$E$2:$E$613,'Income_Statement_Data'!$A$2:$A$613,L$3,'Income_Statement_Data'!$C$2:$C$613,"5020")</x:f>
        <x:v>-213459</x:v>
      </x:c>
      <x:c r="M10" s="37" t="n">
        <x:f>SUMIFS('Income_Statement_Data'!$E$2:$E$613,'Income_Statement_Data'!$A$2:$A$613,M$3,'Income_Statement_Data'!$C$2:$C$613,"5020")</x:f>
        <x:v>-230000</x:v>
      </x:c>
      <x:c r="N10" s="37" t="n">
        <x:f>SUMIFS('Income_Statement_Data'!$E$2:$E$613,'Income_Statement_Data'!$A$2:$A$613,N$3,'Income_Statement_Data'!$C$2:$C$613,"5020")</x:f>
        <x:v>-173471</x:v>
      </x:c>
      <x:c r="O10" s="37" t="n">
        <x:f>SUMIFS('Income_Statement_Data'!$E$2:$E$613,'Income_Statement_Data'!$A$2:$A$613,O$3,'Income_Statement_Data'!$C$2:$C$613,"5020")</x:f>
        <x:v>-180257</x:v>
      </x:c>
      <x:c r="P10" s="37" t="n">
        <x:f>SUMIFS('Income_Statement_Data'!$E$2:$E$613,'Income_Statement_Data'!$A$2:$A$613,P$3,'Income_Statement_Data'!$C$2:$C$613,"5020")</x:f>
        <x:v>-194903</x:v>
      </x:c>
      <x:c r="Q10" s="37" t="n">
        <x:f>SUMIFS('Income_Statement_Data'!$E$2:$E$613,'Income_Statement_Data'!$A$2:$A$613,Q$3,'Income_Statement_Data'!$C$2:$C$613,"5020")</x:f>
        <x:v>-180539</x:v>
      </x:c>
      <x:c r="R10" s="37" t="n">
        <x:f>SUMIFS('Income_Statement_Data'!$E$2:$E$613,'Income_Statement_Data'!$A$2:$A$613,R$3,'Income_Statement_Data'!$C$2:$C$613,"5020")</x:f>
        <x:v>-188942</x:v>
      </x:c>
      <x:c r="S10" s="37" t="n">
        <x:f>SUMIFS('Income_Statement_Data'!$E$2:$E$613,'Income_Statement_Data'!$A$2:$A$613,S$3,'Income_Statement_Data'!$C$2:$C$613,"5020")</x:f>
        <x:v>-193701</x:v>
      </x:c>
      <x:c r="T10" s="37" t="n">
        <x:f>SUMIFS('Income_Statement_Data'!$E$2:$E$613,'Income_Statement_Data'!$A$2:$A$613,T$3,'Income_Statement_Data'!$C$2:$C$613,"5020")</x:f>
        <x:v>-193242</x:v>
      </x:c>
      <x:c r="U10" s="37" t="n">
        <x:f>SUMIFS('Income_Statement_Data'!$E$2:$E$613,'Income_Statement_Data'!$A$2:$A$613,U$3,'Income_Statement_Data'!$C$2:$C$613,"5020")</x:f>
        <x:v>-184273</x:v>
      </x:c>
      <x:c r="V10" s="37" t="n">
        <x:f>SUMIFS('Income_Statement_Data'!$E$2:$E$613,'Income_Statement_Data'!$A$2:$A$613,V$3,'Income_Statement_Data'!$C$2:$C$613,"5020")</x:f>
        <x:v>-211445</x:v>
      </x:c>
      <x:c r="W10" s="37" t="n">
        <x:f>SUMIFS('Income_Statement_Data'!$E$2:$E$613,'Income_Statement_Data'!$A$2:$A$613,W$3,'Income_Statement_Data'!$C$2:$C$613,"5020")</x:f>
        <x:v>-218651</x:v>
      </x:c>
      <x:c r="X10" s="37" t="n">
        <x:f>SUMIFS('Income_Statement_Data'!$E$2:$E$613,'Income_Statement_Data'!$A$2:$A$613,X$3,'Income_Statement_Data'!$C$2:$C$613,"5020")</x:f>
        <x:v>-227958</x:v>
      </x:c>
      <x:c r="Y10" s="37" t="n">
        <x:f>SUMIFS('Income_Statement_Data'!$E$2:$E$613,'Income_Statement_Data'!$A$2:$A$613,Y$3,'Income_Statement_Data'!$C$2:$C$613,"5020")</x:f>
        <x:v>-245535</x:v>
      </x:c>
      <x:c r="Z10" s="37" t="n">
        <x:f>SUMIFS('Income_Statement_Data'!$E$2:$E$613,'Income_Statement_Data'!$A$2:$A$613,Z$3,'Income_Statement_Data'!$C$2:$C$613,"5020")</x:f>
        <x:v>-185122</x:v>
      </x:c>
      <x:c r="AA10" s="37" t="n">
        <x:f>SUMIFS('Income_Statement_Data'!$E$2:$E$613,'Income_Statement_Data'!$A$2:$A$613,AA$3,'Income_Statement_Data'!$C$2:$C$613,"5020")</x:f>
        <x:v>-192296</x:v>
      </x:c>
      <x:c r="AB10" s="37" t="n">
        <x:f>SUMIFS('Income_Statement_Data'!$E$2:$E$613,'Income_Statement_Data'!$A$2:$A$613,AB$3,'Income_Statement_Data'!$C$2:$C$613,"5020")</x:f>
        <x:v>-215124</x:v>
      </x:c>
      <x:c r="AC10" s="37" t="n">
        <x:f>SUMIFS('Income_Statement_Data'!$E$2:$E$613,'Income_Statement_Data'!$A$2:$A$613,AC$3,'Income_Statement_Data'!$C$2:$C$613,"5020")</x:f>
        <x:v>-211915</x:v>
      </x:c>
      <x:c r="AD10" s="37" t="n">
        <x:f>SUMIFS('Income_Statement_Data'!$E$2:$E$613,'Income_Statement_Data'!$A$2:$A$613,AD$3,'Income_Statement_Data'!$C$2:$C$613,"5020")</x:f>
        <x:v>-221704</x:v>
      </x:c>
      <x:c r="AE10" s="37" t="n">
        <x:f>SUMIFS('Income_Statement_Data'!$E$2:$E$613,'Income_Statement_Data'!$A$2:$A$613,AE$3,'Income_Statement_Data'!$C$2:$C$613,"5020")</x:f>
        <x:v>-227212</x:v>
      </x:c>
      <x:c r="AF10" s="37" t="n">
        <x:f>SUMIFS('Income_Statement_Data'!$E$2:$E$613,'Income_Statement_Data'!$A$2:$A$613,AF$3,'Income_Statement_Data'!$C$2:$C$613,"5020")</x:f>
        <x:v>-213002</x:v>
      </x:c>
      <x:c r="AG10" s="37" t="n">
        <x:f>SUMIFS('Income_Statement_Data'!$E$2:$E$613,'Income_Statement_Data'!$A$2:$A$613,AG$3,'Income_Statement_Data'!$C$2:$C$613,"5020")</x:f>
        <x:v>-203050</x:v>
      </x:c>
      <x:c r="AH10" s="37" t="n">
        <x:f>SUMIFS('Income_Statement_Data'!$E$2:$E$613,'Income_Statement_Data'!$A$2:$A$613,AH$3,'Income_Statement_Data'!$C$2:$C$613,"5020")</x:f>
        <x:v>-232914</x:v>
      </x:c>
      <x:c r="AI10" s="37" t="n">
        <x:f>SUMIFS('Income_Statement_Data'!$E$2:$E$613,'Income_Statement_Data'!$A$2:$A$613,AI$3,'Income_Statement_Data'!$C$2:$C$613,"5020")</x:f>
        <x:v>-240775</x:v>
      </x:c>
      <x:c r="AJ10" s="37" t="n">
        <x:f>SUMIFS('Income_Statement_Data'!$E$2:$E$613,'Income_Statement_Data'!$A$2:$A$613,AJ$3,'Income_Statement_Data'!$C$2:$C$613,"5020")</x:f>
        <x:v>-250943</x:v>
      </x:c>
      <x:c r="AK10" s="37" t="n">
        <x:f>SUMIFS('Income_Statement_Data'!$E$2:$E$613,'Income_Statement_Data'!$A$2:$A$613,AK$3,'Income_Statement_Data'!$C$2:$C$613,"5020")</x:f>
        <x:v>-270207</x:v>
      </x:c>
    </x:row>
    <x:row r="11">
      <x:c r="A11" s="36" t="str">
        <x:v>Coste de ventas</x:v>
      </x:c>
      <x:c r="B11" s="37" t="n">
        <x:f>SUM(B8:B10)</x:f>
        <x:v>-1571220</x:v>
      </x:c>
      <x:c r="C11" s="37" t="n">
        <x:f>SUM(C8:C10)</x:f>
        <x:v>-1633335</x:v>
      </x:c>
      <x:c r="D11" s="37" t="n">
        <x:f>SUM(D8:D10)</x:f>
        <x:v>-1766750</x:v>
      </x:c>
      <x:c r="E11" s="37" t="n">
        <x:f>SUM(E8:E10)</x:f>
        <x:v>-1741680</x:v>
      </x:c>
      <x:c r="F11" s="37" t="n">
        <x:f>SUM(F8:F10)</x:f>
        <x:v>-1823454</x:v>
      </x:c>
      <x:c r="G11" s="37" t="n">
        <x:f>SUM(G8:G10)</x:f>
        <x:v>-1870101</x:v>
      </x:c>
      <x:c r="H11" s="37" t="n">
        <x:f>SUM(H8:H10)</x:f>
        <x:v>-1754390</x:v>
      </x:c>
      <x:c r="I11" s="37" t="n">
        <x:f>SUM(I8:I10)</x:f>
        <x:v>-1673593</x:v>
      </x:c>
      <x:c r="J11" s="37" t="n">
        <x:f>SUM(J8:J10)</x:f>
        <x:v>-1921078</x:v>
      </x:c>
      <x:c r="K11" s="37" t="n">
        <x:f>SUM(K8:K10)</x:f>
        <x:v>-1987279</x:v>
      </x:c>
      <x:c r="L11" s="37" t="n">
        <x:f>SUM(L8:L10)</x:f>
        <x:v>-2072614</x:v>
      </x:c>
      <x:c r="M11" s="37" t="n">
        <x:f>SUM(M8:M10)</x:f>
        <x:v>-2233227</x:v>
      </x:c>
      <x:c r="N11" s="37" t="n">
        <x:f>SUM(N8:N10)</x:f>
        <x:v>-1684348</x:v>
      </x:c>
      <x:c r="O11" s="37" t="n">
        <x:f>SUM(O8:O10)</x:f>
        <x:v>-1750235</x:v>
      </x:c>
      <x:c r="P11" s="37" t="n">
        <x:f>SUM(P8:P10)</x:f>
        <x:v>-1892447</x:v>
      </x:c>
      <x:c r="Q11" s="37" t="n">
        <x:f>SUM(Q8:Q10)</x:f>
        <x:v>-1805387</x:v>
      </x:c>
      <x:c r="R11" s="37" t="n">
        <x:f>SUM(R8:R10)</x:f>
        <x:v>-1889419</x:v>
      </x:c>
      <x:c r="S11" s="37" t="n">
        <x:f>SUM(S8:S10)</x:f>
        <x:v>-1937012</x:v>
      </x:c>
      <x:c r="T11" s="37" t="n">
        <x:f>SUM(T8:T10)</x:f>
        <x:v>-1932419</x:v>
      </x:c>
      <x:c r="U11" s="37" t="n">
        <x:f>SUM(U8:U10)</x:f>
        <x:v>-1789235</x:v>
      </x:c>
      <x:c r="V11" s="37" t="n">
        <x:f>SUM(V8:V10)</x:f>
        <x:v>-2053061</x:v>
      </x:c>
      <x:c r="W11" s="37" t="n">
        <x:f>SUM(W8:W10)</x:f>
        <x:v>-2123033</x:v>
      </x:c>
      <x:c r="X11" s="37" t="n">
        <x:f>SUM(X8:X10)</x:f>
        <x:v>-2213396</x:v>
      </x:c>
      <x:c r="Y11" s="37" t="n">
        <x:f>SUM(Y8:Y10)</x:f>
        <x:v>-2384065</x:v>
      </x:c>
      <x:c r="Z11" s="37" t="n">
        <x:f>SUM(Z8:Z10)</x:f>
        <x:v>-1797476</x:v>
      </x:c>
      <x:c r="AA11" s="37" t="n">
        <x:f>SUM(AA8:AA10)</x:f>
        <x:v>-1867133</x:v>
      </x:c>
      <x:c r="AB11" s="37" t="n">
        <x:f>SUM(AB8:AB10)</x:f>
        <x:v>-2088780</x:v>
      </x:c>
      <x:c r="AC11" s="37" t="n">
        <x:f>SUM(AC8:AC10)</x:f>
        <x:v>-2016613</x:v>
      </x:c>
      <x:c r="AD11" s="37" t="n">
        <x:f>SUM(AD8:AD10)</x:f>
        <x:v>-2109762</x:v>
      </x:c>
      <x:c r="AE11" s="37" t="n">
        <x:f>SUM(AE8:AE10)</x:f>
        <x:v>-2162179</x:v>
      </x:c>
      <x:c r="AF11" s="37" t="n">
        <x:f>SUM(AF8:AF10)</x:f>
        <x:v>-2026955</x:v>
      </x:c>
      <x:c r="AG11" s="37" t="n">
        <x:f>SUM(AG8:AG10)</x:f>
        <x:v>-1932248</x:v>
      </x:c>
      <x:c r="AH11" s="37" t="n">
        <x:f>SUM(AH8:AH10)</x:f>
        <x:v>-2216439</x:v>
      </x:c>
      <x:c r="AI11" s="37" t="n">
        <x:f>SUM(AI8:AI10)</x:f>
        <x:v>-2291243</x:v>
      </x:c>
      <x:c r="AJ11" s="37" t="n">
        <x:f>SUM(AJ8:AJ10)</x:f>
        <x:v>-2388003</x:v>
      </x:c>
      <x:c r="AK11" s="37" t="n">
        <x:f>SUM(AK8:AK10)</x:f>
        <x:v>-2571325</x:v>
      </x:c>
    </x:row>
    <x:row r="12">
      <x:c r="A12" s="38" t="str">
        <x:v>Beneficio bruto</x:v>
      </x:c>
      <x:c r="B12" s="39" t="n">
        <x:f>B7+B11</x:f>
        <x:v>1038780</x:v>
      </x:c>
      <x:c r="C12" s="39" t="n">
        <x:f>C7+C11</x:f>
        <x:v>1079847</x:v>
      </x:c>
      <x:c r="D12" s="39" t="n">
        <x:f>D7+D11</x:f>
        <x:v>1168050</x:v>
      </x:c>
      <x:c r="E12" s="39" t="n">
        <x:f>E7+E11</x:f>
        <x:v>1151476</x:v>
      </x:c>
      <x:c r="F12" s="39" t="n">
        <x:f>F7+F11</x:f>
        <x:v>1205538</x:v>
      </x:c>
      <x:c r="G12" s="39" t="n">
        <x:f>G7+G11</x:f>
        <x:v>1236379</x:v>
      </x:c>
      <x:c r="H12" s="39" t="n">
        <x:f>H7+H11</x:f>
        <x:v>1159878</x:v>
      </x:c>
      <x:c r="I12" s="39" t="n">
        <x:f>I7+I11</x:f>
        <x:v>1106463</x:v>
      </x:c>
      <x:c r="J12" s="39" t="n">
        <x:f>J7+J11</x:f>
        <x:v>1270082</x:v>
      </x:c>
      <x:c r="K12" s="39" t="n">
        <x:f>K7+K11</x:f>
        <x:v>1313849</x:v>
      </x:c>
      <x:c r="L12" s="39" t="n">
        <x:f>L7+L11</x:f>
        <x:v>1370266</x:v>
      </x:c>
      <x:c r="M12" s="39" t="n">
        <x:f>M7+M11</x:f>
        <x:v>1476453</x:v>
      </x:c>
      <x:c r="N12" s="39" t="n">
        <x:f>N7+N11</x:f>
        <x:v>1113572</x:v>
      </x:c>
      <x:c r="O12" s="39" t="n">
        <x:f>O7+O11</x:f>
        <x:v>1157131</x:v>
      </x:c>
      <x:c r="P12" s="39" t="n">
        <x:f>P7+P11</x:f>
        <x:v>1251153</x:v>
      </x:c>
      <x:c r="Q12" s="39" t="n">
        <x:f>Q7+Q11</x:f>
        <x:v>1106526</x:v>
      </x:c>
      <x:c r="R12" s="39" t="n">
        <x:f>R7+R11</x:f>
        <x:v>1158031</x:v>
      </x:c>
      <x:c r="S12" s="39" t="n">
        <x:f>S7+S11</x:f>
        <x:v>1187202</x:v>
      </x:c>
      <x:c r="T12" s="39" t="n">
        <x:f>T7+T11</x:f>
        <x:v>1184385</x:v>
      </x:c>
      <x:c r="U12" s="39" t="n">
        <x:f>U7+U11</x:f>
        <x:v>1182917</x:v>
      </x:c>
      <x:c r="V12" s="39" t="n">
        <x:f>V7+V11</x:f>
        <x:v>1357339</x:v>
      </x:c>
      <x:c r="W12" s="39" t="n">
        <x:f>W7+W11</x:f>
        <x:v>1403599</x:v>
      </x:c>
      <x:c r="X12" s="39" t="n">
        <x:f>X7+X11</x:f>
        <x:v>1463340</x:v>
      </x:c>
      <x:c r="Y12" s="39" t="n">
        <x:f>Y7+Y11</x:f>
        <x:v>1576175</x:v>
      </x:c>
      <x:c r="Z12" s="39" t="n">
        <x:f>Z7+Z11</x:f>
        <x:v>1188364</x:v>
      </x:c>
      <x:c r="AA12" s="39" t="n">
        <x:f>AA7+AA11</x:f>
        <x:v>1234417</x:v>
      </x:c>
      <x:c r="AB12" s="39" t="n">
        <x:f>AB7+AB11</x:f>
        <x:v>1380954</x:v>
      </x:c>
      <x:c r="AC12" s="39" t="n">
        <x:f>AC7+AC11</x:f>
        <x:v>1401375</x:v>
      </x:c>
      <x:c r="AD12" s="39" t="n">
        <x:f>AD7+AD11</x:f>
        <x:v>1466105</x:v>
      </x:c>
      <x:c r="AE12" s="39" t="n">
        <x:f>AE7+AE11</x:f>
        <x:v>1502532</x:v>
      </x:c>
      <x:c r="AF12" s="39" t="n">
        <x:f>AF7+AF11</x:f>
        <x:v>1408562</x:v>
      </x:c>
      <x:c r="AG12" s="39" t="n">
        <x:f>AG7+AG11</x:f>
        <x:v>1342749</x:v>
      </x:c>
      <x:c r="AH12" s="39" t="n">
        <x:f>AH7+AH11</x:f>
        <x:v>1540238</x:v>
      </x:c>
      <x:c r="AI12" s="39" t="n">
        <x:f>AI7+AI11</x:f>
        <x:v>1592218</x:v>
      </x:c>
      <x:c r="AJ12" s="39" t="n">
        <x:f>AJ7+AJ11</x:f>
        <x:v>1659460</x:v>
      </x:c>
      <x:c r="AK12" s="39" t="n">
        <x:f>AK7+AK11</x:f>
        <x:v>1786853</x:v>
      </x:c>
    </x:row>
    <x:row r="13">
      <x:c r="A13" s="36" t="str">
        <x:v>Margen bruto</x:v>
      </x:c>
      <x:c r="B13" s="40" t="n">
        <x:f>IFERROR(B12/B7,0)</x:f>
        <x:v>0.398</x:v>
      </x:c>
      <x:c r="C13" s="40" t="n">
        <x:f>IFERROR(C12/C7,0)</x:f>
        <x:v>0.3980002078740018</x:v>
      </x:c>
      <x:c r="D13" s="40" t="n">
        <x:f>IFERROR(D12/D7,0)</x:f>
        <x:v>0.3979998637045114</x:v>
      </x:c>
      <x:c r="E13" s="40" t="n">
        <x:f>IFERROR(E12/E7,0)</x:f>
        <x:v>0.39799996958338923</x:v>
      </x:c>
      <x:c r="F13" s="40" t="n">
        <x:f>IFERROR(F12/F7,0)</x:f>
        <x:v>0.3979997306034483</x:v>
      </x:c>
      <x:c r="G13" s="40" t="n">
        <x:f>IFERROR(G12/G7,0)</x:f>
        <x:v>0.39799998712368984</x:v>
      </x:c>
      <x:c r="H13" s="40" t="n">
        <x:f>IFERROR(H12/H7,0)</x:f>
        <x:v>0.3979997721554778</x:v>
      </x:c>
      <x:c r="I13" s="40" t="n">
        <x:f>IFERROR(I12/I7,0)</x:f>
        <x:v>0.3980002561099489</x:v>
      </x:c>
      <x:c r="J13" s="40" t="n">
        <x:f>IFERROR(J12/J7,0)</x:f>
        <x:v>0.39800010027701527</x:v>
      </x:c>
      <x:c r="K13" s="40" t="n">
        <x:f>IFERROR(K12/K7,0)</x:f>
        <x:v>0.3980000169638984</x:v>
      </x:c>
      <x:c r="L13" s="40" t="n">
        <x:f>IFERROR(L12/L7,0)</x:f>
        <x:v>0.39799993029091923</x:v>
      </x:c>
      <x:c r="M13" s="40" t="n">
        <x:f>IFERROR(M12/M7,0)</x:f>
        <x:v>0.39800009704341077</x:v>
      </x:c>
      <x:c r="N13" s="40" t="n">
        <x:f>IFERROR(N12/N7,0)</x:f>
        <x:v>0.39799994281466233</x:v>
      </x:c>
      <x:c r="O13" s="40" t="n">
        <x:f>IFERROR(O12/O7,0)</x:f>
        <x:v>0.3979997702387659</x:v>
      </x:c>
      <x:c r="P13" s="40" t="n">
        <x:f>IFERROR(P12/P7,0)</x:f>
        <x:v>0.3980000636213259</x:v>
      </x:c>
      <x:c r="Q13" s="40" t="n">
        <x:f>IFERROR(Q12/Q7,0)</x:f>
        <x:v>0.37999967718815775</x:v>
      </x:c>
      <x:c r="R13" s="40" t="n">
        <x:f>IFERROR(R12/R7,0)</x:f>
        <x:v>0.38</x:v>
      </x:c>
      <x:c r="S13" s="40" t="n">
        <x:f>IFERROR(S12/S7,0)</x:f>
        <x:v>0.3800002176547445</x:v>
      </x:c>
      <x:c r="T13" s="40" t="n">
        <x:f>IFERROR(T12/T7,0)</x:f>
        <x:v>0.3799998331624318</x:v>
      </x:c>
      <x:c r="U13" s="40" t="n">
        <x:f>IFERROR(U12/U7,0)</x:f>
        <x:v>0.39800016957409984</x:v>
      </x:c>
      <x:c r="V13" s="40" t="n">
        <x:f>IFERROR(V12/V7,0)</x:f>
        <x:v>0.3979999413558527</x:v>
      </x:c>
      <x:c r="W13" s="40" t="n">
        <x:f>IFERROR(W12/W7,0)</x:f>
        <x:v>0.39799984801362887</x:v>
      </x:c>
      <x:c r="X13" s="40" t="n">
        <x:f>IFERROR(X12/X7,0)</x:f>
        <x:v>0.3979997476022211</x:v>
      </x:c>
      <x:c r="Y13" s="40" t="n">
        <x:f>IFERROR(Y12/Y7,0)</x:f>
        <x:v>0.39799986869482656</x:v>
      </x:c>
      <x:c r="Z13" s="40" t="n">
        <x:f>IFERROR(Z12/Z7,0)</x:f>
        <x:v>0.39799989282747905</x:v>
      </x:c>
      <x:c r="AA13" s="40" t="n">
        <x:f>IFERROR(AA12/AA7,0)</x:f>
        <x:v>0.3980000322419435</x:v>
      </x:c>
      <x:c r="AB13" s="40" t="n">
        <x:f>IFERROR(AB12/AB7,0)</x:f>
        <x:v>0.39799996195673787</x:v>
      </x:c>
      <x:c r="AC13" s="40" t="n">
        <x:f>IFERROR(AC12/AC7,0)</x:f>
        <x:v>0.40999997659441756</x:v>
      </x:c>
      <x:c r="AD13" s="40" t="n">
        <x:f>IFERROR(AD12/AD7,0)</x:f>
        <x:v>0.4099998685633442</x:v>
      </x:c>
      <x:c r="AE13" s="40" t="n">
        <x:f>IFERROR(AE12/AE7,0)</x:f>
        <x:v>0.41000013370767846</x:v>
      </x:c>
      <x:c r="AF13" s="40" t="n">
        <x:f>IFERROR(AF12/AF7,0)</x:f>
        <x:v>0.4100000087323102</x:v>
      </x:c>
      <x:c r="AG13" s="40" t="n">
        <x:f>IFERROR(AG12/AG7,0)</x:f>
        <x:v>0.410000070229072</x:v>
      </x:c>
      <x:c r="AH13" s="40" t="n">
        <x:f>IFERROR(AH12/AH7,0)</x:f>
        <x:v>0.4100001144628617</x:v>
      </x:c>
      <x:c r="AI13" s="40" t="n">
        <x:f>IFERROR(AI12/AI7,0)</x:f>
        <x:v>0.40999973992271327</x:v>
      </x:c>
      <x:c r="AJ13" s="40" t="n">
        <x:f>IFERROR(AJ12/AJ7,0)</x:f>
        <x:v>0.41000004200161927</x:v>
      </x:c>
      <x:c r="AK13" s="40" t="n">
        <x:f>IFERROR(AK12/AK7,0)</x:f>
        <x:v>0.4100000045890737</x:v>
      </x:c>
    </x:row>
    <x:row r="14">
      <x:c r="A14" s="36" t="str">
        <x:v>Gastos de personal</x:v>
      </x:c>
      <x:c r="B14" s="37" t="n">
        <x:f>SUMIFS('Income_Statement_Data'!$E$2:$E$613,'Income_Statement_Data'!$A$2:$A$613,B$3,'Income_Statement_Data'!$C$2:$C$613,"6000")</x:f>
        <x:v>-362790</x:v>
      </x:c>
      <x:c r="C14" s="37" t="n">
        <x:f>SUMIFS('Income_Statement_Data'!$E$2:$E$613,'Income_Statement_Data'!$A$2:$A$613,C$3,'Income_Statement_Data'!$C$2:$C$613,"6000")</x:f>
        <x:v>-376964</x:v>
      </x:c>
      <x:c r="D14" s="37" t="n">
        <x:f>SUMIFS('Income_Statement_Data'!$E$2:$E$613,'Income_Statement_Data'!$A$2:$A$613,D$3,'Income_Statement_Data'!$C$2:$C$613,"6000")</x:f>
        <x:v>-407219</x:v>
      </x:c>
      <x:c r="E14" s="37" t="n">
        <x:f>SUMIFS('Income_Statement_Data'!$E$2:$E$613,'Income_Statement_Data'!$A$2:$A$613,E$3,'Income_Statement_Data'!$C$2:$C$613,"6000")</x:f>
        <x:v>-400596</x:v>
      </x:c>
      <x:c r="F14" s="37" t="n">
        <x:f>SUMIFS('Income_Statement_Data'!$E$2:$E$613,'Income_Statement_Data'!$A$2:$A$613,F$3,'Income_Statement_Data'!$C$2:$C$613,"6000")</x:f>
        <x:v>-418245</x:v>
      </x:c>
      <x:c r="G14" s="37" t="n">
        <x:f>SUMIFS('Income_Statement_Data'!$E$2:$E$613,'Income_Statement_Data'!$A$2:$A$613,G$3,'Income_Statement_Data'!$C$2:$C$613,"6000")</x:f>
        <x:v>-427547</x:v>
      </x:c>
      <x:c r="H14" s="37" t="n">
        <x:f>SUMIFS('Income_Statement_Data'!$E$2:$E$613,'Income_Statement_Data'!$A$2:$A$613,H$3,'Income_Statement_Data'!$C$2:$C$613,"6000")</x:f>
        <x:v>-399667</x:v>
      </x:c>
      <x:c r="I14" s="37" t="n">
        <x:f>SUMIFS('Income_Statement_Data'!$E$2:$E$613,'Income_Statement_Data'!$A$2:$A$613,I$3,'Income_Statement_Data'!$C$2:$C$613,"6000")</x:f>
        <x:v>-379877</x:v>
      </x:c>
      <x:c r="J14" s="37" t="n">
        <x:f>SUMIFS('Income_Statement_Data'!$E$2:$E$613,'Income_Statement_Data'!$A$2:$A$613,J$3,'Income_Statement_Data'!$C$2:$C$613,"6000")</x:f>
        <x:v>-434533</x:v>
      </x:c>
      <x:c r="K14" s="37" t="n">
        <x:f>SUMIFS('Income_Statement_Data'!$E$2:$E$613,'Income_Statement_Data'!$A$2:$A$613,K$3,'Income_Statement_Data'!$C$2:$C$613,"6000")</x:f>
        <x:v>-448107</x:v>
      </x:c>
      <x:c r="L14" s="37" t="n">
        <x:f>SUMIFS('Income_Statement_Data'!$E$2:$E$613,'Income_Statement_Data'!$A$2:$A$613,L$3,'Income_Statement_Data'!$C$2:$C$613,"6000")</x:f>
        <x:v>-466158</x:v>
      </x:c>
      <x:c r="M14" s="37" t="n">
        <x:f>SUMIFS('Income_Statement_Data'!$E$2:$E$613,'Income_Statement_Data'!$A$2:$A$613,M$3,'Income_Statement_Data'!$C$2:$C$613,"6000")</x:f>
        <x:v>-501368</x:v>
      </x:c>
      <x:c r="N14" s="37" t="n">
        <x:f>SUMIFS('Income_Statement_Data'!$E$2:$E$613,'Income_Statement_Data'!$A$2:$A$613,N$3,'Income_Statement_Data'!$C$2:$C$613,"6000")</x:f>
        <x:v>-377775</x:v>
      </x:c>
      <x:c r="O14" s="37" t="n">
        <x:f>SUMIFS('Income_Statement_Data'!$E$2:$E$613,'Income_Statement_Data'!$A$2:$A$613,O$3,'Income_Statement_Data'!$C$2:$C$613,"6000")</x:f>
        <x:v>-392529</x:v>
      </x:c>
      <x:c r="P14" s="37" t="n">
        <x:f>SUMIFS('Income_Statement_Data'!$E$2:$E$613,'Income_Statement_Data'!$A$2:$A$613,P$3,'Income_Statement_Data'!$C$2:$C$613,"6000")</x:f>
        <x:v>-424786</x:v>
      </x:c>
      <x:c r="Q14" s="37" t="n">
        <x:f>SUMIFS('Income_Statement_Data'!$E$2:$E$613,'Income_Statement_Data'!$A$2:$A$613,Q$3,'Income_Statement_Data'!$C$2:$C$613,"6000")</x:f>
        <x:v>-394153</x:v>
      </x:c>
      <x:c r="R14" s="37" t="n">
        <x:f>SUMIFS('Income_Statement_Data'!$E$2:$E$613,'Income_Statement_Data'!$A$2:$A$613,R$3,'Income_Statement_Data'!$C$2:$C$613,"6000")</x:f>
        <x:v>-413517</x:v>
      </x:c>
      <x:c r="S14" s="37" t="n">
        <x:f>SUMIFS('Income_Statement_Data'!$E$2:$E$613,'Income_Statement_Data'!$A$2:$A$613,S$3,'Income_Statement_Data'!$C$2:$C$613,"6000")</x:f>
        <x:v>-425230</x:v>
      </x:c>
      <x:c r="T14" s="37" t="n">
        <x:f>SUMIFS('Income_Statement_Data'!$E$2:$E$613,'Income_Statement_Data'!$A$2:$A$613,T$3,'Income_Statement_Data'!$C$2:$C$613,"6000")</x:f>
        <x:v>-425688</x:v>
      </x:c>
      <x:c r="U14" s="37" t="n">
        <x:f>SUMIFS('Income_Statement_Data'!$E$2:$E$613,'Income_Statement_Data'!$A$2:$A$613,U$3,'Income_Statement_Data'!$C$2:$C$613,"6000")</x:f>
        <x:v>-407408</x:v>
      </x:c>
      <x:c r="V14" s="37" t="n">
        <x:f>SUMIFS('Income_Statement_Data'!$E$2:$E$613,'Income_Statement_Data'!$A$2:$A$613,V$3,'Income_Statement_Data'!$C$2:$C$613,"6000")</x:f>
        <x:v>-469160</x:v>
      </x:c>
      <x:c r="W14" s="37" t="n">
        <x:f>SUMIFS('Income_Statement_Data'!$E$2:$E$613,'Income_Statement_Data'!$A$2:$A$613,W$3,'Income_Statement_Data'!$C$2:$C$613,"6000")</x:f>
        <x:v>-486760</x:v>
      </x:c>
      <x:c r="X14" s="37" t="n">
        <x:f>SUMIFS('Income_Statement_Data'!$E$2:$E$613,'Income_Statement_Data'!$A$2:$A$613,X$3,'Income_Statement_Data'!$C$2:$C$613,"6000")</x:f>
        <x:v>-508924</x:v>
      </x:c>
      <x:c r="Y14" s="37" t="n">
        <x:f>SUMIFS('Income_Statement_Data'!$E$2:$E$613,'Income_Statement_Data'!$A$2:$A$613,Y$3,'Income_Statement_Data'!$C$2:$C$613,"6000")</x:f>
        <x:v>-549374</x:v>
      </x:c>
      <x:c r="Z14" s="37" t="n">
        <x:f>SUMIFS('Income_Statement_Data'!$E$2:$E$613,'Income_Statement_Data'!$A$2:$A$613,Z$3,'Income_Statement_Data'!$C$2:$C$613,"6000")</x:f>
        <x:v>-414794</x:v>
      </x:c>
      <x:c r="AA14" s="37" t="n">
        <x:f>SUMIFS('Income_Statement_Data'!$E$2:$E$613,'Income_Statement_Data'!$A$2:$A$613,AA$3,'Income_Statement_Data'!$C$2:$C$613,"6000")</x:f>
        <x:v>-431112</x:v>
      </x:c>
      <x:c r="AB14" s="37" t="n">
        <x:f>SUMIFS('Income_Statement_Data'!$E$2:$E$613,'Income_Statement_Data'!$A$2:$A$613,AB$3,'Income_Statement_Data'!$C$2:$C$613,"6000")</x:f>
        <x:v>-482131</x:v>
      </x:c>
      <x:c r="AC14" s="37" t="n">
        <x:f>SUMIFS('Income_Statement_Data'!$E$2:$E$613,'Income_Statement_Data'!$A$2:$A$613,AC$3,'Income_Statement_Data'!$C$2:$C$613,"6000")</x:f>
        <x:v>-474369</x:v>
      </x:c>
      <x:c r="AD14" s="37" t="n">
        <x:f>SUMIFS('Income_Statement_Data'!$E$2:$E$613,'Income_Statement_Data'!$A$2:$A$613,AD$3,'Income_Statement_Data'!$C$2:$C$613,"6000")</x:f>
        <x:v>-495285</x:v>
      </x:c>
      <x:c r="AE14" s="37" t="n">
        <x:f>SUMIFS('Income_Statement_Data'!$E$2:$E$613,'Income_Statement_Data'!$A$2:$A$613,AE$3,'Income_Statement_Data'!$C$2:$C$613,"6000")</x:f>
        <x:v>-506228</x:v>
      </x:c>
      <x:c r="AF14" s="37" t="n">
        <x:f>SUMIFS('Income_Statement_Data'!$E$2:$E$613,'Income_Statement_Data'!$A$2:$A$613,AF$3,'Income_Statement_Data'!$C$2:$C$613,"6000")</x:f>
        <x:v>-473048</x:v>
      </x:c>
      <x:c r="AG14" s="37" t="n">
        <x:f>SUMIFS('Income_Statement_Data'!$E$2:$E$613,'Income_Statement_Data'!$A$2:$A$613,AG$3,'Income_Statement_Data'!$C$2:$C$613,"6000")</x:f>
        <x:v>-449354</x:v>
      </x:c>
      <x:c r="AH14" s="37" t="n">
        <x:f>SUMIFS('Income_Statement_Data'!$E$2:$E$613,'Income_Statement_Data'!$A$2:$A$613,AH$3,'Income_Statement_Data'!$C$2:$C$613,"6000")</x:f>
        <x:v>-513572</x:v>
      </x:c>
      <x:c r="AI14" s="37" t="n">
        <x:f>SUMIFS('Income_Statement_Data'!$E$2:$E$613,'Income_Statement_Data'!$A$2:$A$613,AI$3,'Income_Statement_Data'!$C$2:$C$613,"6000")</x:f>
        <x:v>-529038</x:v>
      </x:c>
      <x:c r="AJ14" s="37" t="n">
        <x:f>SUMIFS('Income_Statement_Data'!$E$2:$E$613,'Income_Statement_Data'!$A$2:$A$613,AJ$3,'Income_Statement_Data'!$C$2:$C$613,"6000")</x:f>
        <x:v>-549629</x:v>
      </x:c>
      <x:c r="AK14" s="37" t="n">
        <x:f>SUMIFS('Income_Statement_Data'!$E$2:$E$613,'Income_Statement_Data'!$A$2:$A$613,AK$3,'Income_Statement_Data'!$C$2:$C$613,"6000")</x:f>
        <x:v>-590264</x:v>
      </x:c>
    </x:row>
    <x:row r="15">
      <x:c r="A15" s="36" t="str">
        <x:v>Ventas y marketing</x:v>
      </x:c>
      <x:c r="B15" s="37" t="n">
        <x:f>SUMIFS('Income_Statement_Data'!$E$2:$E$613,'Income_Statement_Data'!$A$2:$A$613,B$3,'Income_Statement_Data'!$C$2:$C$613,"6010")</x:f>
        <x:v>-88740</x:v>
      </x:c>
      <x:c r="C15" s="37" t="n">
        <x:f>SUMIFS('Income_Statement_Data'!$E$2:$E$613,'Income_Statement_Data'!$A$2:$A$613,C$3,'Income_Statement_Data'!$C$2:$C$613,"6010")</x:f>
        <x:v>-92248</x:v>
      </x:c>
      <x:c r="D15" s="37" t="n">
        <x:f>SUMIFS('Income_Statement_Data'!$E$2:$E$613,'Income_Statement_Data'!$A$2:$A$613,D$3,'Income_Statement_Data'!$C$2:$C$613,"6010")</x:f>
        <x:v>-99783</x:v>
      </x:c>
      <x:c r="E15" s="37" t="n">
        <x:f>SUMIFS('Income_Statement_Data'!$E$2:$E$613,'Income_Statement_Data'!$A$2:$A$613,E$3,'Income_Statement_Data'!$C$2:$C$613,"6010")</x:f>
        <x:v>-98367</x:v>
      </x:c>
      <x:c r="F15" s="37" t="n">
        <x:f>SUMIFS('Income_Statement_Data'!$E$2:$E$613,'Income_Statement_Data'!$A$2:$A$613,F$3,'Income_Statement_Data'!$C$2:$C$613,"6010")</x:f>
        <x:v>-102986</x:v>
      </x:c>
      <x:c r="G15" s="37" t="n">
        <x:f>SUMIFS('Income_Statement_Data'!$E$2:$E$613,'Income_Statement_Data'!$A$2:$A$613,G$3,'Income_Statement_Data'!$C$2:$C$613,"6010")</x:f>
        <x:v>-105620</x:v>
      </x:c>
      <x:c r="H15" s="37" t="n">
        <x:f>SUMIFS('Income_Statement_Data'!$E$2:$E$613,'Income_Statement_Data'!$A$2:$A$613,H$3,'Income_Statement_Data'!$C$2:$C$613,"6010")</x:f>
        <x:v>-99085</x:v>
      </x:c>
      <x:c r="I15" s="37" t="n">
        <x:f>SUMIFS('Income_Statement_Data'!$E$2:$E$613,'Income_Statement_Data'!$A$2:$A$613,I$3,'Income_Statement_Data'!$C$2:$C$613,"6010")</x:f>
        <x:v>-94522</x:v>
      </x:c>
      <x:c r="J15" s="37" t="n">
        <x:f>SUMIFS('Income_Statement_Data'!$E$2:$E$613,'Income_Statement_Data'!$A$2:$A$613,J$3,'Income_Statement_Data'!$C$2:$C$613,"6010")</x:f>
        <x:v>-108499</x:v>
      </x:c>
      <x:c r="K15" s="37" t="n">
        <x:f>SUMIFS('Income_Statement_Data'!$E$2:$E$613,'Income_Statement_Data'!$A$2:$A$613,K$3,'Income_Statement_Data'!$C$2:$C$613,"6010")</x:f>
        <x:v>-112238</x:v>
      </x:c>
      <x:c r="L15" s="37" t="n">
        <x:f>SUMIFS('Income_Statement_Data'!$E$2:$E$613,'Income_Statement_Data'!$A$2:$A$613,L$3,'Income_Statement_Data'!$C$2:$C$613,"6010")</x:f>
        <x:v>-117058</x:v>
      </x:c>
      <x:c r="M15" s="37" t="n">
        <x:f>SUMIFS('Income_Statement_Data'!$E$2:$E$613,'Income_Statement_Data'!$A$2:$A$613,M$3,'Income_Statement_Data'!$C$2:$C$613,"6010")</x:f>
        <x:v>-126129</x:v>
      </x:c>
      <x:c r="N15" s="37" t="n">
        <x:f>SUMIFS('Income_Statement_Data'!$E$2:$E$613,'Income_Statement_Data'!$A$2:$A$613,N$3,'Income_Statement_Data'!$C$2:$C$613,"6010")</x:f>
        <x:v>-95129</x:v>
      </x:c>
      <x:c r="O15" s="37" t="n">
        <x:f>SUMIFS('Income_Statement_Data'!$E$2:$E$613,'Income_Statement_Data'!$A$2:$A$613,O$3,'Income_Statement_Data'!$C$2:$C$613,"6010")</x:f>
        <x:v>-98850</x:v>
      </x:c>
      <x:c r="P15" s="37" t="n">
        <x:f>SUMIFS('Income_Statement_Data'!$E$2:$E$613,'Income_Statement_Data'!$A$2:$A$613,P$3,'Income_Statement_Data'!$C$2:$C$613,"6010")</x:f>
        <x:v>-106882</x:v>
      </x:c>
      <x:c r="Q15" s="37" t="n">
        <x:f>SUMIFS('Income_Statement_Data'!$E$2:$E$613,'Income_Statement_Data'!$A$2:$A$613,Q$3,'Income_Statement_Data'!$C$2:$C$613,"6010")</x:f>
        <x:v>-99005</x:v>
      </x:c>
      <x:c r="R15" s="37" t="n">
        <x:f>SUMIFS('Income_Statement_Data'!$E$2:$E$613,'Income_Statement_Data'!$A$2:$A$613,R$3,'Income_Statement_Data'!$C$2:$C$613,"6010")</x:f>
        <x:v>-103613</x:v>
      </x:c>
      <x:c r="S15" s="37" t="n">
        <x:f>SUMIFS('Income_Statement_Data'!$E$2:$E$613,'Income_Statement_Data'!$A$2:$A$613,S$3,'Income_Statement_Data'!$C$2:$C$613,"6010")</x:f>
        <x:v>-106223</x:v>
      </x:c>
      <x:c r="T15" s="37" t="n">
        <x:f>SUMIFS('Income_Statement_Data'!$E$2:$E$613,'Income_Statement_Data'!$A$2:$A$613,T$3,'Income_Statement_Data'!$C$2:$C$613,"6010")</x:f>
        <x:v>-105971</x:v>
      </x:c>
      <x:c r="U15" s="37" t="n">
        <x:f>SUMIFS('Income_Statement_Data'!$E$2:$E$613,'Income_Statement_Data'!$A$2:$A$613,U$3,'Income_Statement_Data'!$C$2:$C$613,"6010")</x:f>
        <x:v>-101053</x:v>
      </x:c>
      <x:c r="V15" s="37" t="n">
        <x:f>SUMIFS('Income_Statement_Data'!$E$2:$E$613,'Income_Statement_Data'!$A$2:$A$613,V$3,'Income_Statement_Data'!$C$2:$C$613,"6010")</x:f>
        <x:v>-115954</x:v>
      </x:c>
      <x:c r="W15" s="37" t="n">
        <x:f>SUMIFS('Income_Statement_Data'!$E$2:$E$613,'Income_Statement_Data'!$A$2:$A$613,W$3,'Income_Statement_Data'!$C$2:$C$613,"6010")</x:f>
        <x:v>-119905</x:v>
      </x:c>
      <x:c r="X15" s="37" t="n">
        <x:f>SUMIFS('Income_Statement_Data'!$E$2:$E$613,'Income_Statement_Data'!$A$2:$A$613,X$3,'Income_Statement_Data'!$C$2:$C$613,"6010")</x:f>
        <x:v>-125009</x:v>
      </x:c>
      <x:c r="Y15" s="37" t="n">
        <x:f>SUMIFS('Income_Statement_Data'!$E$2:$E$613,'Income_Statement_Data'!$A$2:$A$613,Y$3,'Income_Statement_Data'!$C$2:$C$613,"6010")</x:f>
        <x:v>-134648</x:v>
      </x:c>
      <x:c r="Z15" s="37" t="n">
        <x:f>SUMIFS('Income_Statement_Data'!$E$2:$E$613,'Income_Statement_Data'!$A$2:$A$613,Z$3,'Income_Statement_Data'!$C$2:$C$613,"6010")</x:f>
        <x:v>-101519</x:v>
      </x:c>
      <x:c r="AA15" s="37" t="n">
        <x:f>SUMIFS('Income_Statement_Data'!$E$2:$E$613,'Income_Statement_Data'!$A$2:$A$613,AA$3,'Income_Statement_Data'!$C$2:$C$613,"6010")</x:f>
        <x:v>-105453</x:v>
      </x:c>
      <x:c r="AB15" s="37" t="n">
        <x:f>SUMIFS('Income_Statement_Data'!$E$2:$E$613,'Income_Statement_Data'!$A$2:$A$613,AB$3,'Income_Statement_Data'!$C$2:$C$613,"6010")</x:f>
        <x:v>-117971</x:v>
      </x:c>
      <x:c r="AC15" s="37" t="n">
        <x:f>SUMIFS('Income_Statement_Data'!$E$2:$E$613,'Income_Statement_Data'!$A$2:$A$613,AC$3,'Income_Statement_Data'!$C$2:$C$613,"6010")</x:f>
        <x:v>-116212</x:v>
      </x:c>
      <x:c r="AD15" s="37" t="n">
        <x:f>SUMIFS('Income_Statement_Data'!$E$2:$E$613,'Income_Statement_Data'!$A$2:$A$613,AD$3,'Income_Statement_Data'!$C$2:$C$613,"6010")</x:f>
        <x:v>-121579</x:v>
      </x:c>
      <x:c r="AE15" s="37" t="n">
        <x:f>SUMIFS('Income_Statement_Data'!$E$2:$E$613,'Income_Statement_Data'!$A$2:$A$613,AE$3,'Income_Statement_Data'!$C$2:$C$613,"6010")</x:f>
        <x:v>-124600</x:v>
      </x:c>
      <x:c r="AF15" s="37" t="n">
        <x:f>SUMIFS('Income_Statement_Data'!$E$2:$E$613,'Income_Statement_Data'!$A$2:$A$613,AF$3,'Income_Statement_Data'!$C$2:$C$613,"6010")</x:f>
        <x:v>-116808</x:v>
      </x:c>
      <x:c r="AG15" s="37" t="n">
        <x:f>SUMIFS('Income_Statement_Data'!$E$2:$E$613,'Income_Statement_Data'!$A$2:$A$613,AG$3,'Income_Statement_Data'!$C$2:$C$613,"6010")</x:f>
        <x:v>-111350</x:v>
      </x:c>
      <x:c r="AH15" s="37" t="n">
        <x:f>SUMIFS('Income_Statement_Data'!$E$2:$E$613,'Income_Statement_Data'!$A$2:$A$613,AH$3,'Income_Statement_Data'!$C$2:$C$613,"6010")</x:f>
        <x:v>-127727</x:v>
      </x:c>
      <x:c r="AI15" s="37" t="n">
        <x:f>SUMIFS('Income_Statement_Data'!$E$2:$E$613,'Income_Statement_Data'!$A$2:$A$613,AI$3,'Income_Statement_Data'!$C$2:$C$613,"6010")</x:f>
        <x:v>-132038</x:v>
      </x:c>
      <x:c r="AJ15" s="37" t="n">
        <x:f>SUMIFS('Income_Statement_Data'!$E$2:$E$613,'Income_Statement_Data'!$A$2:$A$613,AJ$3,'Income_Statement_Data'!$C$2:$C$613,"6010")</x:f>
        <x:v>-137614</x:v>
      </x:c>
      <x:c r="AK15" s="37" t="n">
        <x:f>SUMIFS('Income_Statement_Data'!$E$2:$E$613,'Income_Statement_Data'!$A$2:$A$613,AK$3,'Income_Statement_Data'!$C$2:$C$613,"6010")</x:f>
        <x:v>-148178</x:v>
      </x:c>
    </x:row>
    <x:row r="16">
      <x:c r="A16" s="36" t="str">
        <x:v>IT y sistemas</x:v>
      </x:c>
      <x:c r="B16" s="37" t="n">
        <x:f>SUMIFS('Income_Statement_Data'!$E$2:$E$613,'Income_Statement_Data'!$A$2:$A$613,B$3,'Income_Statement_Data'!$C$2:$C$613,"6020")</x:f>
        <x:v>-46980</x:v>
      </x:c>
      <x:c r="C16" s="37" t="n">
        <x:f>SUMIFS('Income_Statement_Data'!$E$2:$E$613,'Income_Statement_Data'!$A$2:$A$613,C$3,'Income_Statement_Data'!$C$2:$C$613,"6020")</x:f>
        <x:v>-48837</x:v>
      </x:c>
      <x:c r="D16" s="37" t="n">
        <x:f>SUMIFS('Income_Statement_Data'!$E$2:$E$613,'Income_Statement_Data'!$A$2:$A$613,D$3,'Income_Statement_Data'!$C$2:$C$613,"6020")</x:f>
        <x:v>-52826</x:v>
      </x:c>
      <x:c r="E16" s="37" t="n">
        <x:f>SUMIFS('Income_Statement_Data'!$E$2:$E$613,'Income_Statement_Data'!$A$2:$A$613,E$3,'Income_Statement_Data'!$C$2:$C$613,"6020")</x:f>
        <x:v>-52077</x:v>
      </x:c>
      <x:c r="F16" s="37" t="n">
        <x:f>SUMIFS('Income_Statement_Data'!$E$2:$E$613,'Income_Statement_Data'!$A$2:$A$613,F$3,'Income_Statement_Data'!$C$2:$C$613,"6020")</x:f>
        <x:v>-54522</x:v>
      </x:c>
      <x:c r="G16" s="37" t="n">
        <x:f>SUMIFS('Income_Statement_Data'!$E$2:$E$613,'Income_Statement_Data'!$A$2:$A$613,G$3,'Income_Statement_Data'!$C$2:$C$613,"6020")</x:f>
        <x:v>-55917</x:v>
      </x:c>
      <x:c r="H16" s="37" t="n">
        <x:f>SUMIFS('Income_Statement_Data'!$E$2:$E$613,'Income_Statement_Data'!$A$2:$A$613,H$3,'Income_Statement_Data'!$C$2:$C$613,"6020")</x:f>
        <x:v>-52457</x:v>
      </x:c>
      <x:c r="I16" s="37" t="n">
        <x:f>SUMIFS('Income_Statement_Data'!$E$2:$E$613,'Income_Statement_Data'!$A$2:$A$613,I$3,'Income_Statement_Data'!$C$2:$C$613,"6020")</x:f>
        <x:v>-50041</x:v>
      </x:c>
      <x:c r="J16" s="37" t="n">
        <x:f>SUMIFS('Income_Statement_Data'!$E$2:$E$613,'Income_Statement_Data'!$A$2:$A$613,J$3,'Income_Statement_Data'!$C$2:$C$613,"6020")</x:f>
        <x:v>-57441</x:v>
      </x:c>
      <x:c r="K16" s="37" t="n">
        <x:f>SUMIFS('Income_Statement_Data'!$E$2:$E$613,'Income_Statement_Data'!$A$2:$A$613,K$3,'Income_Statement_Data'!$C$2:$C$613,"6020")</x:f>
        <x:v>-59420</x:v>
      </x:c>
      <x:c r="L16" s="37" t="n">
        <x:f>SUMIFS('Income_Statement_Data'!$E$2:$E$613,'Income_Statement_Data'!$A$2:$A$613,L$3,'Income_Statement_Data'!$C$2:$C$613,"6020")</x:f>
        <x:v>-61972</x:v>
      </x:c>
      <x:c r="M16" s="37" t="n">
        <x:f>SUMIFS('Income_Statement_Data'!$E$2:$E$613,'Income_Statement_Data'!$A$2:$A$613,M$3,'Income_Statement_Data'!$C$2:$C$613,"6020")</x:f>
        <x:v>-66774</x:v>
      </x:c>
      <x:c r="N16" s="37" t="n">
        <x:f>SUMIFS('Income_Statement_Data'!$E$2:$E$613,'Income_Statement_Data'!$A$2:$A$613,N$3,'Income_Statement_Data'!$C$2:$C$613,"6020")</x:f>
        <x:v>-50363</x:v>
      </x:c>
      <x:c r="O16" s="37" t="n">
        <x:f>SUMIFS('Income_Statement_Data'!$E$2:$E$613,'Income_Statement_Data'!$A$2:$A$613,O$3,'Income_Statement_Data'!$C$2:$C$613,"6020")</x:f>
        <x:v>-52333</x:v>
      </x:c>
      <x:c r="P16" s="37" t="n">
        <x:f>SUMIFS('Income_Statement_Data'!$E$2:$E$613,'Income_Statement_Data'!$A$2:$A$613,P$3,'Income_Statement_Data'!$C$2:$C$613,"6020")</x:f>
        <x:v>-56585</x:v>
      </x:c>
      <x:c r="Q16" s="37" t="n">
        <x:f>SUMIFS('Income_Statement_Data'!$E$2:$E$613,'Income_Statement_Data'!$A$2:$A$613,Q$3,'Income_Statement_Data'!$C$2:$C$613,"6020")</x:f>
        <x:v>-52414</x:v>
      </x:c>
      <x:c r="R16" s="37" t="n">
        <x:f>SUMIFS('Income_Statement_Data'!$E$2:$E$613,'Income_Statement_Data'!$A$2:$A$613,R$3,'Income_Statement_Data'!$C$2:$C$613,"6020")</x:f>
        <x:v>-54854</x:v>
      </x:c>
      <x:c r="S16" s="37" t="n">
        <x:f>SUMIFS('Income_Statement_Data'!$E$2:$E$613,'Income_Statement_Data'!$A$2:$A$613,S$3,'Income_Statement_Data'!$C$2:$C$613,"6020")</x:f>
        <x:v>-56236</x:v>
      </x:c>
      <x:c r="T16" s="37" t="n">
        <x:f>SUMIFS('Income_Statement_Data'!$E$2:$E$613,'Income_Statement_Data'!$A$2:$A$613,T$3,'Income_Statement_Data'!$C$2:$C$613,"6020")</x:f>
        <x:v>-56102</x:v>
      </x:c>
      <x:c r="U16" s="37" t="n">
        <x:f>SUMIFS('Income_Statement_Data'!$E$2:$E$613,'Income_Statement_Data'!$A$2:$A$613,U$3,'Income_Statement_Data'!$C$2:$C$613,"6020")</x:f>
        <x:v>-53499</x:v>
      </x:c>
      <x:c r="V16" s="37" t="n">
        <x:f>SUMIFS('Income_Statement_Data'!$E$2:$E$613,'Income_Statement_Data'!$A$2:$A$613,V$3,'Income_Statement_Data'!$C$2:$C$613,"6020")</x:f>
        <x:v>-61387</x:v>
      </x:c>
      <x:c r="W16" s="37" t="n">
        <x:f>SUMIFS('Income_Statement_Data'!$E$2:$E$613,'Income_Statement_Data'!$A$2:$A$613,W$3,'Income_Statement_Data'!$C$2:$C$613,"6020")</x:f>
        <x:v>-63479</x:v>
      </x:c>
      <x:c r="X16" s="37" t="n">
        <x:f>SUMIFS('Income_Statement_Data'!$E$2:$E$613,'Income_Statement_Data'!$A$2:$A$613,X$3,'Income_Statement_Data'!$C$2:$C$613,"6020")</x:f>
        <x:v>-66181</x:v>
      </x:c>
      <x:c r="Y16" s="37" t="n">
        <x:f>SUMIFS('Income_Statement_Data'!$E$2:$E$613,'Income_Statement_Data'!$A$2:$A$613,Y$3,'Income_Statement_Data'!$C$2:$C$613,"6020")</x:f>
        <x:v>-71284</x:v>
      </x:c>
      <x:c r="Z16" s="37" t="n">
        <x:f>SUMIFS('Income_Statement_Data'!$E$2:$E$613,'Income_Statement_Data'!$A$2:$A$613,Z$3,'Income_Statement_Data'!$C$2:$C$613,"6020")</x:f>
        <x:v>-65688</x:v>
      </x:c>
      <x:c r="AA16" s="37" t="n">
        <x:f>SUMIFS('Income_Statement_Data'!$E$2:$E$613,'Income_Statement_Data'!$A$2:$A$613,AA$3,'Income_Statement_Data'!$C$2:$C$613,"6020")</x:f>
        <x:v>-68234</x:v>
      </x:c>
      <x:c r="AB16" s="37" t="n">
        <x:f>SUMIFS('Income_Statement_Data'!$E$2:$E$613,'Income_Statement_Data'!$A$2:$A$613,AB$3,'Income_Statement_Data'!$C$2:$C$613,"6020")</x:f>
        <x:v>-76334</x:v>
      </x:c>
      <x:c r="AC16" s="37" t="n">
        <x:f>SUMIFS('Income_Statement_Data'!$E$2:$E$613,'Income_Statement_Data'!$A$2:$A$613,AC$3,'Income_Statement_Data'!$C$2:$C$613,"6020")</x:f>
        <x:v>-75196</x:v>
      </x:c>
      <x:c r="AD16" s="37" t="n">
        <x:f>SUMIFS('Income_Statement_Data'!$E$2:$E$613,'Income_Statement_Data'!$A$2:$A$613,AD$3,'Income_Statement_Data'!$C$2:$C$613,"6020")</x:f>
        <x:v>-78669</x:v>
      </x:c>
      <x:c r="AE16" s="37" t="n">
        <x:f>SUMIFS('Income_Statement_Data'!$E$2:$E$613,'Income_Statement_Data'!$A$2:$A$613,AE$3,'Income_Statement_Data'!$C$2:$C$613,"6020")</x:f>
        <x:v>-80624</x:v>
      </x:c>
      <x:c r="AF16" s="37" t="n">
        <x:f>SUMIFS('Income_Statement_Data'!$E$2:$E$613,'Income_Statement_Data'!$A$2:$A$613,AF$3,'Income_Statement_Data'!$C$2:$C$613,"6020")</x:f>
        <x:v>-75581</x:v>
      </x:c>
      <x:c r="AG16" s="37" t="n">
        <x:f>SUMIFS('Income_Statement_Data'!$E$2:$E$613,'Income_Statement_Data'!$A$2:$A$613,AG$3,'Income_Statement_Data'!$C$2:$C$613,"6020")</x:f>
        <x:v>-72050</x:v>
      </x:c>
      <x:c r="AH16" s="37" t="n">
        <x:f>SUMIFS('Income_Statement_Data'!$E$2:$E$613,'Income_Statement_Data'!$A$2:$A$613,AH$3,'Income_Statement_Data'!$C$2:$C$613,"6020")</x:f>
        <x:v>-82647</x:v>
      </x:c>
      <x:c r="AI16" s="37" t="n">
        <x:f>SUMIFS('Income_Statement_Data'!$E$2:$E$613,'Income_Statement_Data'!$A$2:$A$613,AI$3,'Income_Statement_Data'!$C$2:$C$613,"6020")</x:f>
        <x:v>-85436</x:v>
      </x:c>
      <x:c r="AJ16" s="37" t="n">
        <x:f>SUMIFS('Income_Statement_Data'!$E$2:$E$613,'Income_Statement_Data'!$A$2:$A$613,AJ$3,'Income_Statement_Data'!$C$2:$C$613,"6020")</x:f>
        <x:v>-89044</x:v>
      </x:c>
      <x:c r="AK16" s="37" t="n">
        <x:f>SUMIFS('Income_Statement_Data'!$E$2:$E$613,'Income_Statement_Data'!$A$2:$A$613,AK$3,'Income_Statement_Data'!$C$2:$C$613,"6020")</x:f>
        <x:v>-95880</x:v>
      </x:c>
    </x:row>
    <x:row r="17">
      <x:c r="A17" s="36" t="str">
        <x:v>Alquileres e instalaciones</x:v>
      </x:c>
      <x:c r="B17" s="37" t="n">
        <x:f>SUMIFS('Income_Statement_Data'!$E$2:$E$613,'Income_Statement_Data'!$A$2:$A$613,B$3,'Income_Statement_Data'!$C$2:$C$613,"6030")</x:f>
        <x:v>-31320</x:v>
      </x:c>
      <x:c r="C17" s="37" t="n">
        <x:f>SUMIFS('Income_Statement_Data'!$E$2:$E$613,'Income_Statement_Data'!$A$2:$A$613,C$3,'Income_Statement_Data'!$C$2:$C$613,"6030")</x:f>
        <x:v>-32558</x:v>
      </x:c>
      <x:c r="D17" s="37" t="n">
        <x:f>SUMIFS('Income_Statement_Data'!$E$2:$E$613,'Income_Statement_Data'!$A$2:$A$613,D$3,'Income_Statement_Data'!$C$2:$C$613,"6030")</x:f>
        <x:v>-35218</x:v>
      </x:c>
      <x:c r="E17" s="37" t="n">
        <x:f>SUMIFS('Income_Statement_Data'!$E$2:$E$613,'Income_Statement_Data'!$A$2:$A$613,E$3,'Income_Statement_Data'!$C$2:$C$613,"6030")</x:f>
        <x:v>-34718</x:v>
      </x:c>
      <x:c r="F17" s="37" t="n">
        <x:f>SUMIFS('Income_Statement_Data'!$E$2:$E$613,'Income_Statement_Data'!$A$2:$A$613,F$3,'Income_Statement_Data'!$C$2:$C$613,"6030")</x:f>
        <x:v>-36348</x:v>
      </x:c>
      <x:c r="G17" s="37" t="n">
        <x:f>SUMIFS('Income_Statement_Data'!$E$2:$E$613,'Income_Statement_Data'!$A$2:$A$613,G$3,'Income_Statement_Data'!$C$2:$C$613,"6030")</x:f>
        <x:v>-37278</x:v>
      </x:c>
      <x:c r="H17" s="37" t="n">
        <x:f>SUMIFS('Income_Statement_Data'!$E$2:$E$613,'Income_Statement_Data'!$A$2:$A$613,H$3,'Income_Statement_Data'!$C$2:$C$613,"6030")</x:f>
        <x:v>-34971</x:v>
      </x:c>
      <x:c r="I17" s="37" t="n">
        <x:f>SUMIFS('Income_Statement_Data'!$E$2:$E$613,'Income_Statement_Data'!$A$2:$A$613,I$3,'Income_Statement_Data'!$C$2:$C$613,"6030")</x:f>
        <x:v>-33361</x:v>
      </x:c>
      <x:c r="J17" s="37" t="n">
        <x:f>SUMIFS('Income_Statement_Data'!$E$2:$E$613,'Income_Statement_Data'!$A$2:$A$613,J$3,'Income_Statement_Data'!$C$2:$C$613,"6030")</x:f>
        <x:v>-38294</x:v>
      </x:c>
      <x:c r="K17" s="37" t="n">
        <x:f>SUMIFS('Income_Statement_Data'!$E$2:$E$613,'Income_Statement_Data'!$A$2:$A$613,K$3,'Income_Statement_Data'!$C$2:$C$613,"6030")</x:f>
        <x:v>-39614</x:v>
      </x:c>
      <x:c r="L17" s="37" t="n">
        <x:f>SUMIFS('Income_Statement_Data'!$E$2:$E$613,'Income_Statement_Data'!$A$2:$A$613,L$3,'Income_Statement_Data'!$C$2:$C$613,"6030")</x:f>
        <x:v>-41315</x:v>
      </x:c>
      <x:c r="M17" s="37" t="n">
        <x:f>SUMIFS('Income_Statement_Data'!$E$2:$E$613,'Income_Statement_Data'!$A$2:$A$613,M$3,'Income_Statement_Data'!$C$2:$C$613,"6030")</x:f>
        <x:v>-44516</x:v>
      </x:c>
      <x:c r="N17" s="37" t="n">
        <x:f>SUMIFS('Income_Statement_Data'!$E$2:$E$613,'Income_Statement_Data'!$A$2:$A$613,N$3,'Income_Statement_Data'!$C$2:$C$613,"6030")</x:f>
        <x:v>-33575</x:v>
      </x:c>
      <x:c r="O17" s="37" t="n">
        <x:f>SUMIFS('Income_Statement_Data'!$E$2:$E$613,'Income_Statement_Data'!$A$2:$A$613,O$3,'Income_Statement_Data'!$C$2:$C$613,"6030")</x:f>
        <x:v>-34888</x:v>
      </x:c>
      <x:c r="P17" s="37" t="n">
        <x:f>SUMIFS('Income_Statement_Data'!$E$2:$E$613,'Income_Statement_Data'!$A$2:$A$613,P$3,'Income_Statement_Data'!$C$2:$C$613,"6030")</x:f>
        <x:v>-37723</x:v>
      </x:c>
      <x:c r="Q17" s="37" t="n">
        <x:f>SUMIFS('Income_Statement_Data'!$E$2:$E$613,'Income_Statement_Data'!$A$2:$A$613,Q$3,'Income_Statement_Data'!$C$2:$C$613,"6030")</x:f>
        <x:v>-34943</x:v>
      </x:c>
      <x:c r="R17" s="37" t="n">
        <x:f>SUMIFS('Income_Statement_Data'!$E$2:$E$613,'Income_Statement_Data'!$A$2:$A$613,R$3,'Income_Statement_Data'!$C$2:$C$613,"6030")</x:f>
        <x:v>-36569</x:v>
      </x:c>
      <x:c r="S17" s="37" t="n">
        <x:f>SUMIFS('Income_Statement_Data'!$E$2:$E$613,'Income_Statement_Data'!$A$2:$A$613,S$3,'Income_Statement_Data'!$C$2:$C$613,"6030")</x:f>
        <x:v>-37491</x:v>
      </x:c>
      <x:c r="T17" s="37" t="n">
        <x:f>SUMIFS('Income_Statement_Data'!$E$2:$E$613,'Income_Statement_Data'!$A$2:$A$613,T$3,'Income_Statement_Data'!$C$2:$C$613,"6030")</x:f>
        <x:v>-37402</x:v>
      </x:c>
      <x:c r="U17" s="37" t="n">
        <x:f>SUMIFS('Income_Statement_Data'!$E$2:$E$613,'Income_Statement_Data'!$A$2:$A$613,U$3,'Income_Statement_Data'!$C$2:$C$613,"6030")</x:f>
        <x:v>-35666</x:v>
      </x:c>
      <x:c r="V17" s="37" t="n">
        <x:f>SUMIFS('Income_Statement_Data'!$E$2:$E$613,'Income_Statement_Data'!$A$2:$A$613,V$3,'Income_Statement_Data'!$C$2:$C$613,"6030")</x:f>
        <x:v>-40925</x:v>
      </x:c>
      <x:c r="W17" s="37" t="n">
        <x:f>SUMIFS('Income_Statement_Data'!$E$2:$E$613,'Income_Statement_Data'!$A$2:$A$613,W$3,'Income_Statement_Data'!$C$2:$C$613,"6030")</x:f>
        <x:v>-42320</x:v>
      </x:c>
      <x:c r="X17" s="37" t="n">
        <x:f>SUMIFS('Income_Statement_Data'!$E$2:$E$613,'Income_Statement_Data'!$A$2:$A$613,X$3,'Income_Statement_Data'!$C$2:$C$613,"6030")</x:f>
        <x:v>-44121</x:v>
      </x:c>
      <x:c r="Y17" s="37" t="n">
        <x:f>SUMIFS('Income_Statement_Data'!$E$2:$E$613,'Income_Statement_Data'!$A$2:$A$613,Y$3,'Income_Statement_Data'!$C$2:$C$613,"6030")</x:f>
        <x:v>-47523</x:v>
      </x:c>
      <x:c r="Z17" s="37" t="n">
        <x:f>SUMIFS('Income_Statement_Data'!$E$2:$E$613,'Income_Statement_Data'!$A$2:$A$613,Z$3,'Income_Statement_Data'!$C$2:$C$613,"6030")</x:f>
        <x:v>-35830</x:v>
      </x:c>
      <x:c r="AA17" s="37" t="n">
        <x:f>SUMIFS('Income_Statement_Data'!$E$2:$E$613,'Income_Statement_Data'!$A$2:$A$613,AA$3,'Income_Statement_Data'!$C$2:$C$613,"6030")</x:f>
        <x:v>-37219</x:v>
      </x:c>
      <x:c r="AB17" s="37" t="n">
        <x:f>SUMIFS('Income_Statement_Data'!$E$2:$E$613,'Income_Statement_Data'!$A$2:$A$613,AB$3,'Income_Statement_Data'!$C$2:$C$613,"6030")</x:f>
        <x:v>-41637</x:v>
      </x:c>
      <x:c r="AC17" s="37" t="n">
        <x:f>SUMIFS('Income_Statement_Data'!$E$2:$E$613,'Income_Statement_Data'!$A$2:$A$613,AC$3,'Income_Statement_Data'!$C$2:$C$613,"6030")</x:f>
        <x:v>-41016</x:v>
      </x:c>
      <x:c r="AD17" s="37" t="n">
        <x:f>SUMIFS('Income_Statement_Data'!$E$2:$E$613,'Income_Statement_Data'!$A$2:$A$613,AD$3,'Income_Statement_Data'!$C$2:$C$613,"6030")</x:f>
        <x:v>-42910</x:v>
      </x:c>
      <x:c r="AE17" s="37" t="n">
        <x:f>SUMIFS('Income_Statement_Data'!$E$2:$E$613,'Income_Statement_Data'!$A$2:$A$613,AE$3,'Income_Statement_Data'!$C$2:$C$613,"6030")</x:f>
        <x:v>-43977</x:v>
      </x:c>
      <x:c r="AF17" s="37" t="n">
        <x:f>SUMIFS('Income_Statement_Data'!$E$2:$E$613,'Income_Statement_Data'!$A$2:$A$613,AF$3,'Income_Statement_Data'!$C$2:$C$613,"6030")</x:f>
        <x:v>-41226</x:v>
      </x:c>
      <x:c r="AG17" s="37" t="n">
        <x:f>SUMIFS('Income_Statement_Data'!$E$2:$E$613,'Income_Statement_Data'!$A$2:$A$613,AG$3,'Income_Statement_Data'!$C$2:$C$613,"6030")</x:f>
        <x:v>-39300</x:v>
      </x:c>
      <x:c r="AH17" s="37" t="n">
        <x:f>SUMIFS('Income_Statement_Data'!$E$2:$E$613,'Income_Statement_Data'!$A$2:$A$613,AH$3,'Income_Statement_Data'!$C$2:$C$613,"6030")</x:f>
        <x:v>-45080</x:v>
      </x:c>
      <x:c r="AI17" s="37" t="n">
        <x:f>SUMIFS('Income_Statement_Data'!$E$2:$E$613,'Income_Statement_Data'!$A$2:$A$613,AI$3,'Income_Statement_Data'!$C$2:$C$613,"6030")</x:f>
        <x:v>-46602</x:v>
      </x:c>
      <x:c r="AJ17" s="37" t="n">
        <x:f>SUMIFS('Income_Statement_Data'!$E$2:$E$613,'Income_Statement_Data'!$A$2:$A$613,AJ$3,'Income_Statement_Data'!$C$2:$C$613,"6030")</x:f>
        <x:v>-48570</x:v>
      </x:c>
      <x:c r="AK17" s="37" t="n">
        <x:f>SUMIFS('Income_Statement_Data'!$E$2:$E$613,'Income_Statement_Data'!$A$2:$A$613,AK$3,'Income_Statement_Data'!$C$2:$C$613,"6030")</x:f>
        <x:v>-52298</x:v>
      </x:c>
    </x:row>
    <x:row r="18">
      <x:c r="A18" s="36" t="str">
        <x:v>Otros gastos operativos</x:v>
      </x:c>
      <x:c r="B18" s="37" t="n">
        <x:f>SUMIFS('Income_Statement_Data'!$E$2:$E$613,'Income_Statement_Data'!$A$2:$A$613,B$3,'Income_Statement_Data'!$C$2:$C$613,"6040")</x:f>
        <x:v>-62640</x:v>
      </x:c>
      <x:c r="C18" s="37" t="n">
        <x:f>SUMIFS('Income_Statement_Data'!$E$2:$E$613,'Income_Statement_Data'!$A$2:$A$613,C$3,'Income_Statement_Data'!$C$2:$C$613,"6040")</x:f>
        <x:v>-65116</x:v>
      </x:c>
      <x:c r="D18" s="37" t="n">
        <x:f>SUMIFS('Income_Statement_Data'!$E$2:$E$613,'Income_Statement_Data'!$A$2:$A$613,D$3,'Income_Statement_Data'!$C$2:$C$613,"6040")</x:f>
        <x:v>-70435</x:v>
      </x:c>
      <x:c r="E18" s="37" t="n">
        <x:f>SUMIFS('Income_Statement_Data'!$E$2:$E$613,'Income_Statement_Data'!$A$2:$A$613,E$3,'Income_Statement_Data'!$C$2:$C$613,"6040")</x:f>
        <x:v>-69436</x:v>
      </x:c>
      <x:c r="F18" s="37" t="n">
        <x:f>SUMIFS('Income_Statement_Data'!$E$2:$E$613,'Income_Statement_Data'!$A$2:$A$613,F$3,'Income_Statement_Data'!$C$2:$C$613,"6040")</x:f>
        <x:v>-72696</x:v>
      </x:c>
      <x:c r="G18" s="37" t="n">
        <x:f>SUMIFS('Income_Statement_Data'!$E$2:$E$613,'Income_Statement_Data'!$A$2:$A$613,G$3,'Income_Statement_Data'!$C$2:$C$613,"6040")</x:f>
        <x:v>-74556</x:v>
      </x:c>
      <x:c r="H18" s="37" t="n">
        <x:f>SUMIFS('Income_Statement_Data'!$E$2:$E$613,'Income_Statement_Data'!$A$2:$A$613,H$3,'Income_Statement_Data'!$C$2:$C$613,"6040")</x:f>
        <x:v>-69942</x:v>
      </x:c>
      <x:c r="I18" s="37" t="n">
        <x:f>SUMIFS('Income_Statement_Data'!$E$2:$E$613,'Income_Statement_Data'!$A$2:$A$613,I$3,'Income_Statement_Data'!$C$2:$C$613,"6040")</x:f>
        <x:v>-66721</x:v>
      </x:c>
      <x:c r="J18" s="37" t="n">
        <x:f>SUMIFS('Income_Statement_Data'!$E$2:$E$613,'Income_Statement_Data'!$A$2:$A$613,J$3,'Income_Statement_Data'!$C$2:$C$613,"6040")</x:f>
        <x:v>-76588</x:v>
      </x:c>
      <x:c r="K18" s="37" t="n">
        <x:f>SUMIFS('Income_Statement_Data'!$E$2:$E$613,'Income_Statement_Data'!$A$2:$A$613,K$3,'Income_Statement_Data'!$C$2:$C$613,"6040")</x:f>
        <x:v>-79227</x:v>
      </x:c>
      <x:c r="L18" s="37" t="n">
        <x:f>SUMIFS('Income_Statement_Data'!$E$2:$E$613,'Income_Statement_Data'!$A$2:$A$613,L$3,'Income_Statement_Data'!$C$2:$C$613,"6040")</x:f>
        <x:v>-82629</x:v>
      </x:c>
      <x:c r="M18" s="37" t="n">
        <x:f>SUMIFS('Income_Statement_Data'!$E$2:$E$613,'Income_Statement_Data'!$A$2:$A$613,M$3,'Income_Statement_Data'!$C$2:$C$613,"6040")</x:f>
        <x:v>-89032</x:v>
      </x:c>
      <x:c r="N18" s="37" t="n">
        <x:f>SUMIFS('Income_Statement_Data'!$E$2:$E$613,'Income_Statement_Data'!$A$2:$A$613,N$3,'Income_Statement_Data'!$C$2:$C$613,"6040")</x:f>
        <x:v>-67150</x:v>
      </x:c>
      <x:c r="O18" s="37" t="n">
        <x:f>SUMIFS('Income_Statement_Data'!$E$2:$E$613,'Income_Statement_Data'!$A$2:$A$613,O$3,'Income_Statement_Data'!$C$2:$C$613,"6040")</x:f>
        <x:v>-69777</x:v>
      </x:c>
      <x:c r="P18" s="37" t="n">
        <x:f>SUMIFS('Income_Statement_Data'!$E$2:$E$613,'Income_Statement_Data'!$A$2:$A$613,P$3,'Income_Statement_Data'!$C$2:$C$613,"6040")</x:f>
        <x:v>-75446</x:v>
      </x:c>
      <x:c r="Q18" s="37" t="n">
        <x:f>SUMIFS('Income_Statement_Data'!$E$2:$E$613,'Income_Statement_Data'!$A$2:$A$613,Q$3,'Income_Statement_Data'!$C$2:$C$613,"6040")</x:f>
        <x:v>-69886</x:v>
      </x:c>
      <x:c r="R18" s="37" t="n">
        <x:f>SUMIFS('Income_Statement_Data'!$E$2:$E$613,'Income_Statement_Data'!$A$2:$A$613,R$3,'Income_Statement_Data'!$C$2:$C$613,"6040")</x:f>
        <x:v>-73139</x:v>
      </x:c>
      <x:c r="S18" s="37" t="n">
        <x:f>SUMIFS('Income_Statement_Data'!$E$2:$E$613,'Income_Statement_Data'!$A$2:$A$613,S$3,'Income_Statement_Data'!$C$2:$C$613,"6040")</x:f>
        <x:v>-74981</x:v>
      </x:c>
      <x:c r="T18" s="37" t="n">
        <x:f>SUMIFS('Income_Statement_Data'!$E$2:$E$613,'Income_Statement_Data'!$A$2:$A$613,T$3,'Income_Statement_Data'!$C$2:$C$613,"6040")</x:f>
        <x:v>-74803</x:v>
      </x:c>
      <x:c r="U18" s="37" t="n">
        <x:f>SUMIFS('Income_Statement_Data'!$E$2:$E$613,'Income_Statement_Data'!$A$2:$A$613,U$3,'Income_Statement_Data'!$C$2:$C$613,"6040")</x:f>
        <x:v>-71332</x:v>
      </x:c>
      <x:c r="V18" s="37" t="n">
        <x:f>SUMIFS('Income_Statement_Data'!$E$2:$E$613,'Income_Statement_Data'!$A$2:$A$613,V$3,'Income_Statement_Data'!$C$2:$C$613,"6040")</x:f>
        <x:v>-81850</x:v>
      </x:c>
      <x:c r="W18" s="37" t="n">
        <x:f>SUMIFS('Income_Statement_Data'!$E$2:$E$613,'Income_Statement_Data'!$A$2:$A$613,W$3,'Income_Statement_Data'!$C$2:$C$613,"6040")</x:f>
        <x:v>-84639</x:v>
      </x:c>
      <x:c r="X18" s="37" t="n">
        <x:f>SUMIFS('Income_Statement_Data'!$E$2:$E$613,'Income_Statement_Data'!$A$2:$A$613,X$3,'Income_Statement_Data'!$C$2:$C$613,"6040")</x:f>
        <x:v>-88242</x:v>
      </x:c>
      <x:c r="Y18" s="37" t="n">
        <x:f>SUMIFS('Income_Statement_Data'!$E$2:$E$613,'Income_Statement_Data'!$A$2:$A$613,Y$3,'Income_Statement_Data'!$C$2:$C$613,"6040")</x:f>
        <x:v>-95046</x:v>
      </x:c>
      <x:c r="Z18" s="37" t="n">
        <x:f>SUMIFS('Income_Statement_Data'!$E$2:$E$613,'Income_Statement_Data'!$A$2:$A$613,Z$3,'Income_Statement_Data'!$C$2:$C$613,"6040")</x:f>
        <x:v>-71660</x:v>
      </x:c>
      <x:c r="AA18" s="37" t="n">
        <x:f>SUMIFS('Income_Statement_Data'!$E$2:$E$613,'Income_Statement_Data'!$A$2:$A$613,AA$3,'Income_Statement_Data'!$C$2:$C$613,"6040")</x:f>
        <x:v>-74437</x:v>
      </x:c>
      <x:c r="AB18" s="37" t="n">
        <x:f>SUMIFS('Income_Statement_Data'!$E$2:$E$613,'Income_Statement_Data'!$A$2:$A$613,AB$3,'Income_Statement_Data'!$C$2:$C$613,"6040")</x:f>
        <x:v>-83274</x:v>
      </x:c>
      <x:c r="AC18" s="37" t="n">
        <x:f>SUMIFS('Income_Statement_Data'!$E$2:$E$613,'Income_Statement_Data'!$A$2:$A$613,AC$3,'Income_Statement_Data'!$C$2:$C$613,"6040")</x:f>
        <x:v>-82032</x:v>
      </x:c>
      <x:c r="AD18" s="37" t="n">
        <x:f>SUMIFS('Income_Statement_Data'!$E$2:$E$613,'Income_Statement_Data'!$A$2:$A$613,AD$3,'Income_Statement_Data'!$C$2:$C$613,"6040")</x:f>
        <x:v>-85821</x:v>
      </x:c>
      <x:c r="AE18" s="37" t="n">
        <x:f>SUMIFS('Income_Statement_Data'!$E$2:$E$613,'Income_Statement_Data'!$A$2:$A$613,AE$3,'Income_Statement_Data'!$C$2:$C$613,"6040")</x:f>
        <x:v>-87953</x:v>
      </x:c>
      <x:c r="AF18" s="37" t="n">
        <x:f>SUMIFS('Income_Statement_Data'!$E$2:$E$613,'Income_Statement_Data'!$A$2:$A$613,AF$3,'Income_Statement_Data'!$C$2:$C$613,"6040")</x:f>
        <x:v>-82452</x:v>
      </x:c>
      <x:c r="AG18" s="37" t="n">
        <x:f>SUMIFS('Income_Statement_Data'!$E$2:$E$613,'Income_Statement_Data'!$A$2:$A$613,AG$3,'Income_Statement_Data'!$C$2:$C$613,"6040")</x:f>
        <x:v>-78600</x:v>
      </x:c>
      <x:c r="AH18" s="37" t="n">
        <x:f>SUMIFS('Income_Statement_Data'!$E$2:$E$613,'Income_Statement_Data'!$A$2:$A$613,AH$3,'Income_Statement_Data'!$C$2:$C$613,"6040")</x:f>
        <x:v>-90160</x:v>
      </x:c>
      <x:c r="AI18" s="37" t="n">
        <x:f>SUMIFS('Income_Statement_Data'!$E$2:$E$613,'Income_Statement_Data'!$A$2:$A$613,AI$3,'Income_Statement_Data'!$C$2:$C$613,"6040")</x:f>
        <x:v>-93203</x:v>
      </x:c>
      <x:c r="AJ18" s="37" t="n">
        <x:f>SUMIFS('Income_Statement_Data'!$E$2:$E$613,'Income_Statement_Data'!$A$2:$A$613,AJ$3,'Income_Statement_Data'!$C$2:$C$613,"6040")</x:f>
        <x:v>-97139</x:v>
      </x:c>
      <x:c r="AK18" s="37" t="n">
        <x:f>SUMIFS('Income_Statement_Data'!$E$2:$E$613,'Income_Statement_Data'!$A$2:$A$613,AK$3,'Income_Statement_Data'!$C$2:$C$613,"6040")</x:f>
        <x:v>-104596</x:v>
      </x:c>
    </x:row>
    <x:row r="19">
      <x:c r="A19" s="38" t="str">
        <x:v>EBITDA</x:v>
      </x:c>
      <x:c r="B19" s="39" t="n">
        <x:f>SUM(B12,B14:B18)</x:f>
        <x:v>446310</x:v>
      </x:c>
      <x:c r="C19" s="39" t="n">
        <x:f>SUM(C12,C14:C18)</x:f>
        <x:v>464124</x:v>
      </x:c>
      <x:c r="D19" s="39" t="n">
        <x:f>SUM(D12,D14:D18)</x:f>
        <x:v>502569</x:v>
      </x:c>
      <x:c r="E19" s="39" t="n">
        <x:f>SUM(E12,E14:E18)</x:f>
        <x:v>496282</x:v>
      </x:c>
      <x:c r="F19" s="39" t="n">
        <x:f>SUM(F12,F14:F18)</x:f>
        <x:v>520741</x:v>
      </x:c>
      <x:c r="G19" s="39" t="n">
        <x:f>SUM(G12,G14:G18)</x:f>
        <x:v>535461</x:v>
      </x:c>
      <x:c r="H19" s="39" t="n">
        <x:f>SUM(H12,H14:H18)</x:f>
        <x:v>503756</x:v>
      </x:c>
      <x:c r="I19" s="39" t="n">
        <x:f>SUM(I12,I14:I18)</x:f>
        <x:v>481941</x:v>
      </x:c>
      <x:c r="J19" s="39" t="n">
        <x:f>SUM(J12,J14:J18)</x:f>
        <x:v>554727</x:v>
      </x:c>
      <x:c r="K19" s="39" t="n">
        <x:f>SUM(K12,K14:K18)</x:f>
        <x:v>575243</x:v>
      </x:c>
      <x:c r="L19" s="39" t="n">
        <x:f>SUM(L12,L14:L18)</x:f>
        <x:v>601134</x:v>
      </x:c>
      <x:c r="M19" s="39" t="n">
        <x:f>SUM(M12,M14:M18)</x:f>
        <x:v>648634</x:v>
      </x:c>
      <x:c r="N19" s="39" t="n">
        <x:f>SUM(N12,N14:N18)</x:f>
        <x:v>489580</x:v>
      </x:c>
      <x:c r="O19" s="39" t="n">
        <x:f>SUM(O12,O14:O18)</x:f>
        <x:v>508754</x:v>
      </x:c>
      <x:c r="P19" s="39" t="n">
        <x:f>SUM(P12,P14:P18)</x:f>
        <x:v>549731</x:v>
      </x:c>
      <x:c r="Q19" s="39" t="n">
        <x:f>SUM(Q12,Q14:Q18)</x:f>
        <x:v>456125</x:v>
      </x:c>
      <x:c r="R19" s="39" t="n">
        <x:f>SUM(R12,R14:R18)</x:f>
        <x:v>476339</x:v>
      </x:c>
      <x:c r="S19" s="39" t="n">
        <x:f>SUM(S12,S14:S18)</x:f>
        <x:v>487041</x:v>
      </x:c>
      <x:c r="T19" s="39" t="n">
        <x:f>SUM(T12,T14:T18)</x:f>
        <x:v>484419</x:v>
      </x:c>
      <x:c r="U19" s="39" t="n">
        <x:f>SUM(U12,U14:U18)</x:f>
        <x:v>513959</x:v>
      </x:c>
      <x:c r="V19" s="39" t="n">
        <x:f>SUM(V12,V14:V18)</x:f>
        <x:v>588063</x:v>
      </x:c>
      <x:c r="W19" s="39" t="n">
        <x:f>SUM(W12,W14:W18)</x:f>
        <x:v>606496</x:v>
      </x:c>
      <x:c r="X19" s="39" t="n">
        <x:f>SUM(X12,X14:X18)</x:f>
        <x:v>630863</x:v>
      </x:c>
      <x:c r="Y19" s="39" t="n">
        <x:f>SUM(Y12,Y14:Y18)</x:f>
        <x:v>678300</x:v>
      </x:c>
      <x:c r="Z19" s="39" t="n">
        <x:f>SUM(Z12,Z14:Z18)</x:f>
        <x:v>498873</x:v>
      </x:c>
      <x:c r="AA19" s="39" t="n">
        <x:f>SUM(AA12,AA14:AA18)</x:f>
        <x:v>517962</x:v>
      </x:c>
      <x:c r="AB19" s="39" t="n">
        <x:f>SUM(AB12,AB14:AB18)</x:f>
        <x:v>579607</x:v>
      </x:c>
      <x:c r="AC19" s="39" t="n">
        <x:f>SUM(AC12,AC14:AC18)</x:f>
        <x:v>612550</x:v>
      </x:c>
      <x:c r="AD19" s="39" t="n">
        <x:f>SUM(AD12,AD14:AD18)</x:f>
        <x:v>641841</x:v>
      </x:c>
      <x:c r="AE19" s="39" t="n">
        <x:f>SUM(AE12,AE14:AE18)</x:f>
        <x:v>659150</x:v>
      </x:c>
      <x:c r="AF19" s="39" t="n">
        <x:f>SUM(AF12,AF14:AF18)</x:f>
        <x:v>619447</x:v>
      </x:c>
      <x:c r="AG19" s="39" t="n">
        <x:f>SUM(AG12,AG14:AG18)</x:f>
        <x:v>592095</x:v>
      </x:c>
      <x:c r="AH19" s="39" t="n">
        <x:f>SUM(AH12,AH14:AH18)</x:f>
        <x:v>681052</x:v>
      </x:c>
      <x:c r="AI19" s="39" t="n">
        <x:f>SUM(AI12,AI14:AI18)</x:f>
        <x:v>705901</x:v>
      </x:c>
      <x:c r="AJ19" s="39" t="n">
        <x:f>SUM(AJ12,AJ14:AJ18)</x:f>
        <x:v>737464</x:v>
      </x:c>
      <x:c r="AK19" s="39" t="n">
        <x:f>SUM(AK12,AK14:AK18)</x:f>
        <x:v>795637</x:v>
      </x:c>
    </x:row>
    <x:row r="20">
      <x:c r="A20" s="36" t="str">
        <x:v>Margen EBITDA</x:v>
      </x:c>
      <x:c r="B20" s="40" t="n">
        <x:f>IFERROR(B19/B7,0)</x:f>
        <x:v>0.171</x:v>
      </x:c>
      <x:c r="C20" s="40" t="n">
        <x:f>IFERROR(C19/C7,0)</x:f>
        <x:v>0.17106261209163262</x:v>
      </x:c>
      <x:c r="D20" s="40" t="n">
        <x:f>IFERROR(D19/D7,0)</x:f>
        <x:v>0.171244718549816</x:v>
      </x:c>
      <x:c r="E20" s="40" t="n">
        <x:f>IFERROR(E19/E7,0)</x:f>
        <x:v>0.17153655039686763</x:v>
      </x:c>
      <x:c r="F20" s="40" t="n">
        <x:f>IFERROR(F19/F7,0)</x:f>
        <x:v>0.17191890899678838</x:v>
      </x:c>
      <x:c r="G20" s="40" t="n">
        <x:f>IFERROR(G19/G7,0)</x:f>
        <x:v>0.17236904792562643</x:v>
      </x:c>
      <x:c r="H20" s="40" t="n">
        <x:f>IFERROR(H19/H7,0)</x:f>
        <x:v>0.17285850168893183</x:v>
      </x:c>
      <x:c r="I20" s="40" t="n">
        <x:f>IFERROR(I19/I7,0)</x:f>
        <x:v>0.1733565798674559</x:v>
      </x:c>
      <x:c r="J20" s="40" t="n">
        <x:f>IFERROR(J19/J7,0)</x:f>
        <x:v>0.17383239950362878</x:v>
      </x:c>
      <x:c r="K20" s="40" t="n">
        <x:f>IFERROR(K19/K7,0)</x:f>
        <x:v>0.174256496567234</x:v>
      </x:c>
      <x:c r="L20" s="40" t="n">
        <x:f>IFERROR(L19/L7,0)</x:f>
        <x:v>0.17460207733060693</x:v>
      </x:c>
      <x:c r="M20" s="40" t="n">
        <x:f>IFERROR(M19/M7,0)</x:f>
        <x:v>0.17484904358327402</x:v>
      </x:c>
      <x:c r="N20" s="40" t="n">
        <x:f>IFERROR(N19/N7,0)</x:f>
        <x:v>0.1749799851318122</x:v>
      </x:c>
      <x:c r="O20" s="40" t="n">
        <x:f>IFERROR(O19/O7,0)</x:f>
        <x:v>0.17498794441429114</x:v>
      </x:c>
      <x:c r="P20" s="40" t="n">
        <x:f>IFERROR(P19/P7,0)</x:f>
        <x:v>0.17487307545489247</x:v>
      </x:c>
      <x:c r="Q20" s="40" t="n">
        <x:f>IFERROR(Q19/Q7,0)</x:f>
        <x:v>0.1566410122829906</x:v>
      </x:c>
      <x:c r="R20" s="40" t="n">
        <x:f>IFERROR(R19/R7,0)</x:f>
        <x:v>0.1563074045513462</x:v>
      </x:c>
      <x:c r="S20" s="40" t="n">
        <x:f>IFERROR(S19/S7,0)</x:f>
        <x:v>0.15589233003885136</x:v>
      </x:c>
      <x:c r="T20" s="40" t="n">
        <x:f>IFERROR(T19/T7,0)</x:f>
        <x:v>0.1554217076210118</x:v>
      </x:c>
      <x:c r="U20" s="40" t="n">
        <x:f>IFERROR(U19/U7,0)</x:f>
        <x:v>0.1729248705988119</x:v>
      </x:c>
      <x:c r="V20" s="40" t="n">
        <x:f>IFERROR(V19/V7,0)</x:f>
        <x:v>0.1724322660098522</x:v>
      </x:c>
      <x:c r="W20" s="40" t="n">
        <x:f>IFERROR(W19/W7,0)</x:f>
        <x:v>0.17197598161645444</x:v>
      </x:c>
      <x:c r="X20" s="40" t="n">
        <x:f>IFERROR(X19/X7,0)</x:f>
        <x:v>0.1715823491270518</x:v>
      </x:c>
      <x:c r="Y20" s="40" t="n">
        <x:f>IFERROR(Y19/Y7,0)</x:f>
        <x:v>0.17127749833343434</x:v>
      </x:c>
      <x:c r="Z20" s="40" t="n">
        <x:f>IFERROR(Z19/Z7,0)</x:f>
        <x:v>0.16707961578651234</x:v>
      </x:c>
      <x:c r="AA20" s="40" t="n">
        <x:f>IFERROR(AA19/AA7,0)</x:f>
        <x:v>0.16700101562122166</x:v>
      </x:c>
      <x:c r="AB20" s="40" t="n">
        <x:f>IFERROR(AB19/AB7,0)</x:f>
        <x:v>0.16704652287466418</x:v>
      </x:c>
      <x:c r="AC20" s="40" t="n">
        <x:f>IFERROR(AC19/AC7,0)</x:f>
        <x:v>0.179213619240325</x:v>
      </x:c>
      <x:c r="AD20" s="40" t="n">
        <x:f>IFERROR(AD19/AD7,0)</x:f>
        <x:v>0.17949241400756796</x:v>
      </x:c>
      <x:c r="AE20" s="40" t="n">
        <x:f>IFERROR(AE19/AE7,0)</x:f>
        <x:v>0.179864114796501</x:v>
      </x:c>
      <x:c r="AF20" s="40" t="n">
        <x:f>IFERROR(AF19/AF7,0)</x:f>
        <x:v>0.18030677769896059</x:v>
      </x:c>
      <x:c r="AG20" s="40" t="n">
        <x:f>IFERROR(AG19/AG7,0)</x:f>
        <x:v>0.18079253202369347</x:v>
      </x:c>
      <x:c r="AH20" s="40" t="n">
        <x:f>IFERROR(AH19/AH7,0)</x:f>
        <x:v>0.1812910718701661</x:v>
      </x:c>
      <x:c r="AI20" s="40" t="n">
        <x:f>IFERROR(AI19/AI7,0)</x:f>
        <x:v>0.18177110572244706</x:v>
      </x:c>
      <x:c r="AJ20" s="40" t="n">
        <x:f>IFERROR(AJ19/AJ7,0)</x:f>
        <x:v>0.18220401273587924</x:v>
      </x:c>
      <x:c r="AK20" s="40" t="n">
        <x:f>IFERROR(AK19/AK7,0)</x:f>
        <x:v>0.18256184120978997</x:v>
      </x:c>
    </x:row>
    <x:row r="21">
      <x:c r="A21" s="36" t="str">
        <x:v>Depreciación</x:v>
      </x:c>
      <x:c r="B21" s="37" t="n">
        <x:f>SUMIFS('Income_Statement_Data'!$E$2:$E$613,'Income_Statement_Data'!$A$2:$A$613,B$3,'Income_Statement_Data'!$C$2:$C$613,"6100")</x:f>
        <x:v>-105000</x:v>
      </x:c>
      <x:c r="C21" s="37" t="n">
        <x:f>SUMIFS('Income_Statement_Data'!$E$2:$E$613,'Income_Statement_Data'!$A$2:$A$613,C$3,'Income_Statement_Data'!$C$2:$C$613,"6100")</x:f>
        <x:v>-107500</x:v>
      </x:c>
      <x:c r="D21" s="37" t="n">
        <x:f>SUMIFS('Income_Statement_Data'!$E$2:$E$613,'Income_Statement_Data'!$A$2:$A$613,D$3,'Income_Statement_Data'!$C$2:$C$613,"6100")</x:f>
        <x:v>-110000</x:v>
      </x:c>
      <x:c r="E21" s="37" t="n">
        <x:f>SUMIFS('Income_Statement_Data'!$E$2:$E$613,'Income_Statement_Data'!$A$2:$A$613,E$3,'Income_Statement_Data'!$C$2:$C$613,"6100")</x:f>
        <x:v>-112500</x:v>
      </x:c>
      <x:c r="F21" s="37" t="n">
        <x:f>SUMIFS('Income_Statement_Data'!$E$2:$E$613,'Income_Statement_Data'!$A$2:$A$613,F$3,'Income_Statement_Data'!$C$2:$C$613,"6100")</x:f>
        <x:v>-115000</x:v>
      </x:c>
      <x:c r="G21" s="37" t="n">
        <x:f>SUMIFS('Income_Statement_Data'!$E$2:$E$613,'Income_Statement_Data'!$A$2:$A$613,G$3,'Income_Statement_Data'!$C$2:$C$613,"6100")</x:f>
        <x:v>-117500</x:v>
      </x:c>
      <x:c r="H21" s="37" t="n">
        <x:f>SUMIFS('Income_Statement_Data'!$E$2:$E$613,'Income_Statement_Data'!$A$2:$A$613,H$3,'Income_Statement_Data'!$C$2:$C$613,"6100")</x:f>
        <x:v>-120000</x:v>
      </x:c>
      <x:c r="I21" s="37" t="n">
        <x:f>SUMIFS('Income_Statement_Data'!$E$2:$E$613,'Income_Statement_Data'!$A$2:$A$613,I$3,'Income_Statement_Data'!$C$2:$C$613,"6100")</x:f>
        <x:v>-122500</x:v>
      </x:c>
      <x:c r="J21" s="37" t="n">
        <x:f>SUMIFS('Income_Statement_Data'!$E$2:$E$613,'Income_Statement_Data'!$A$2:$A$613,J$3,'Income_Statement_Data'!$C$2:$C$613,"6100")</x:f>
        <x:v>-125000</x:v>
      </x:c>
      <x:c r="K21" s="37" t="n">
        <x:f>SUMIFS('Income_Statement_Data'!$E$2:$E$613,'Income_Statement_Data'!$A$2:$A$613,K$3,'Income_Statement_Data'!$C$2:$C$613,"6100")</x:f>
        <x:v>-127500</x:v>
      </x:c>
      <x:c r="L21" s="37" t="n">
        <x:f>SUMIFS('Income_Statement_Data'!$E$2:$E$613,'Income_Statement_Data'!$A$2:$A$613,L$3,'Income_Statement_Data'!$C$2:$C$613,"6100")</x:f>
        <x:v>-130000</x:v>
      </x:c>
      <x:c r="M21" s="37" t="n">
        <x:f>SUMIFS('Income_Statement_Data'!$E$2:$E$613,'Income_Statement_Data'!$A$2:$A$613,M$3,'Income_Statement_Data'!$C$2:$C$613,"6100")</x:f>
        <x:v>-132500</x:v>
      </x:c>
      <x:c r="N21" s="37" t="n">
        <x:f>SUMIFS('Income_Statement_Data'!$E$2:$E$613,'Income_Statement_Data'!$A$2:$A$613,N$3,'Income_Statement_Data'!$C$2:$C$613,"6100")</x:f>
        <x:v>-135000</x:v>
      </x:c>
      <x:c r="O21" s="37" t="n">
        <x:f>SUMIFS('Income_Statement_Data'!$E$2:$E$613,'Income_Statement_Data'!$A$2:$A$613,O$3,'Income_Statement_Data'!$C$2:$C$613,"6100")</x:f>
        <x:v>-137500</x:v>
      </x:c>
      <x:c r="P21" s="37" t="n">
        <x:f>SUMIFS('Income_Statement_Data'!$E$2:$E$613,'Income_Statement_Data'!$A$2:$A$613,P$3,'Income_Statement_Data'!$C$2:$C$613,"6100")</x:f>
        <x:v>-140000</x:v>
      </x:c>
      <x:c r="Q21" s="37" t="n">
        <x:f>SUMIFS('Income_Statement_Data'!$E$2:$E$613,'Income_Statement_Data'!$A$2:$A$613,Q$3,'Income_Statement_Data'!$C$2:$C$613,"6100")</x:f>
        <x:v>-142500</x:v>
      </x:c>
      <x:c r="R21" s="37" t="n">
        <x:f>SUMIFS('Income_Statement_Data'!$E$2:$E$613,'Income_Statement_Data'!$A$2:$A$613,R$3,'Income_Statement_Data'!$C$2:$C$613,"6100")</x:f>
        <x:v>-145000</x:v>
      </x:c>
      <x:c r="S21" s="37" t="n">
        <x:f>SUMIFS('Income_Statement_Data'!$E$2:$E$613,'Income_Statement_Data'!$A$2:$A$613,S$3,'Income_Statement_Data'!$C$2:$C$613,"6100")</x:f>
        <x:v>-147500</x:v>
      </x:c>
      <x:c r="T21" s="37" t="n">
        <x:f>SUMIFS('Income_Statement_Data'!$E$2:$E$613,'Income_Statement_Data'!$A$2:$A$613,T$3,'Income_Statement_Data'!$C$2:$C$613,"6100")</x:f>
        <x:v>-150000</x:v>
      </x:c>
      <x:c r="U21" s="37" t="n">
        <x:f>SUMIFS('Income_Statement_Data'!$E$2:$E$613,'Income_Statement_Data'!$A$2:$A$613,U$3,'Income_Statement_Data'!$C$2:$C$613,"6100")</x:f>
        <x:v>-152500</x:v>
      </x:c>
      <x:c r="V21" s="37" t="n">
        <x:f>SUMIFS('Income_Statement_Data'!$E$2:$E$613,'Income_Statement_Data'!$A$2:$A$613,V$3,'Income_Statement_Data'!$C$2:$C$613,"6100")</x:f>
        <x:v>-155000</x:v>
      </x:c>
      <x:c r="W21" s="37" t="n">
        <x:f>SUMIFS('Income_Statement_Data'!$E$2:$E$613,'Income_Statement_Data'!$A$2:$A$613,W$3,'Income_Statement_Data'!$C$2:$C$613,"6100")</x:f>
        <x:v>-157500</x:v>
      </x:c>
      <x:c r="X21" s="37" t="n">
        <x:f>SUMIFS('Income_Statement_Data'!$E$2:$E$613,'Income_Statement_Data'!$A$2:$A$613,X$3,'Income_Statement_Data'!$C$2:$C$613,"6100")</x:f>
        <x:v>-160000</x:v>
      </x:c>
      <x:c r="Y21" s="37" t="n">
        <x:f>SUMIFS('Income_Statement_Data'!$E$2:$E$613,'Income_Statement_Data'!$A$2:$A$613,Y$3,'Income_Statement_Data'!$C$2:$C$613,"6100")</x:f>
        <x:v>-162500</x:v>
      </x:c>
      <x:c r="Z21" s="37" t="n">
        <x:f>SUMIFS('Income_Statement_Data'!$E$2:$E$613,'Income_Statement_Data'!$A$2:$A$613,Z$3,'Income_Statement_Data'!$C$2:$C$613,"6100")</x:f>
        <x:v>-165000</x:v>
      </x:c>
      <x:c r="AA21" s="37" t="n">
        <x:f>SUMIFS('Income_Statement_Data'!$E$2:$E$613,'Income_Statement_Data'!$A$2:$A$613,AA$3,'Income_Statement_Data'!$C$2:$C$613,"6100")</x:f>
        <x:v>-167500</x:v>
      </x:c>
      <x:c r="AB21" s="37" t="n">
        <x:f>SUMIFS('Income_Statement_Data'!$E$2:$E$613,'Income_Statement_Data'!$A$2:$A$613,AB$3,'Income_Statement_Data'!$C$2:$C$613,"6100")</x:f>
        <x:v>-170000</x:v>
      </x:c>
      <x:c r="AC21" s="37" t="n">
        <x:f>SUMIFS('Income_Statement_Data'!$E$2:$E$613,'Income_Statement_Data'!$A$2:$A$613,AC$3,'Income_Statement_Data'!$C$2:$C$613,"6100")</x:f>
        <x:v>-172500</x:v>
      </x:c>
      <x:c r="AD21" s="37" t="n">
        <x:f>SUMIFS('Income_Statement_Data'!$E$2:$E$613,'Income_Statement_Data'!$A$2:$A$613,AD$3,'Income_Statement_Data'!$C$2:$C$613,"6100")</x:f>
        <x:v>-175000</x:v>
      </x:c>
      <x:c r="AE21" s="37" t="n">
        <x:f>SUMIFS('Income_Statement_Data'!$E$2:$E$613,'Income_Statement_Data'!$A$2:$A$613,AE$3,'Income_Statement_Data'!$C$2:$C$613,"6100")</x:f>
        <x:v>-177500</x:v>
      </x:c>
      <x:c r="AF21" s="37" t="n">
        <x:f>SUMIFS('Income_Statement_Data'!$E$2:$E$613,'Income_Statement_Data'!$A$2:$A$613,AF$3,'Income_Statement_Data'!$C$2:$C$613,"6100")</x:f>
        <x:v>-180000</x:v>
      </x:c>
      <x:c r="AG21" s="37" t="n">
        <x:f>SUMIFS('Income_Statement_Data'!$E$2:$E$613,'Income_Statement_Data'!$A$2:$A$613,AG$3,'Income_Statement_Data'!$C$2:$C$613,"6100")</x:f>
        <x:v>-182500</x:v>
      </x:c>
      <x:c r="AH21" s="37" t="n">
        <x:f>SUMIFS('Income_Statement_Data'!$E$2:$E$613,'Income_Statement_Data'!$A$2:$A$613,AH$3,'Income_Statement_Data'!$C$2:$C$613,"6100")</x:f>
        <x:v>-185000</x:v>
      </x:c>
      <x:c r="AI21" s="37" t="n">
        <x:f>SUMIFS('Income_Statement_Data'!$E$2:$E$613,'Income_Statement_Data'!$A$2:$A$613,AI$3,'Income_Statement_Data'!$C$2:$C$613,"6100")</x:f>
        <x:v>-187500</x:v>
      </x:c>
      <x:c r="AJ21" s="37" t="n">
        <x:f>SUMIFS('Income_Statement_Data'!$E$2:$E$613,'Income_Statement_Data'!$A$2:$A$613,AJ$3,'Income_Statement_Data'!$C$2:$C$613,"6100")</x:f>
        <x:v>-190000</x:v>
      </x:c>
      <x:c r="AK21" s="37" t="n">
        <x:f>SUMIFS('Income_Statement_Data'!$E$2:$E$613,'Income_Statement_Data'!$A$2:$A$613,AK$3,'Income_Statement_Data'!$C$2:$C$613,"6100")</x:f>
        <x:v>-192500</x:v>
      </x:c>
    </x:row>
    <x:row r="22">
      <x:c r="A22" s="36" t="str">
        <x:v>Amortización</x:v>
      </x:c>
      <x:c r="B22" s="37" t="n">
        <x:f>SUMIFS('Income_Statement_Data'!$E$2:$E$613,'Income_Statement_Data'!$A$2:$A$613,B$3,'Income_Statement_Data'!$C$2:$C$613,"6110")</x:f>
        <x:v>-22000</x:v>
      </x:c>
      <x:c r="C22" s="37" t="n">
        <x:f>SUMIFS('Income_Statement_Data'!$E$2:$E$613,'Income_Statement_Data'!$A$2:$A$613,C$3,'Income_Statement_Data'!$C$2:$C$613,"6110")</x:f>
        <x:v>-22350</x:v>
      </x:c>
      <x:c r="D22" s="37" t="n">
        <x:f>SUMIFS('Income_Statement_Data'!$E$2:$E$613,'Income_Statement_Data'!$A$2:$A$613,D$3,'Income_Statement_Data'!$C$2:$C$613,"6110")</x:f>
        <x:v>-22700</x:v>
      </x:c>
      <x:c r="E22" s="37" t="n">
        <x:f>SUMIFS('Income_Statement_Data'!$E$2:$E$613,'Income_Statement_Data'!$A$2:$A$613,E$3,'Income_Statement_Data'!$C$2:$C$613,"6110")</x:f>
        <x:v>-23050</x:v>
      </x:c>
      <x:c r="F22" s="37" t="n">
        <x:f>SUMIFS('Income_Statement_Data'!$E$2:$E$613,'Income_Statement_Data'!$A$2:$A$613,F$3,'Income_Statement_Data'!$C$2:$C$613,"6110")</x:f>
        <x:v>-23400</x:v>
      </x:c>
      <x:c r="G22" s="37" t="n">
        <x:f>SUMIFS('Income_Statement_Data'!$E$2:$E$613,'Income_Statement_Data'!$A$2:$A$613,G$3,'Income_Statement_Data'!$C$2:$C$613,"6110")</x:f>
        <x:v>-23750</x:v>
      </x:c>
      <x:c r="H22" s="37" t="n">
        <x:f>SUMIFS('Income_Statement_Data'!$E$2:$E$613,'Income_Statement_Data'!$A$2:$A$613,H$3,'Income_Statement_Data'!$C$2:$C$613,"6110")</x:f>
        <x:v>-24100</x:v>
      </x:c>
      <x:c r="I22" s="37" t="n">
        <x:f>SUMIFS('Income_Statement_Data'!$E$2:$E$613,'Income_Statement_Data'!$A$2:$A$613,I$3,'Income_Statement_Data'!$C$2:$C$613,"6110")</x:f>
        <x:v>-24450</x:v>
      </x:c>
      <x:c r="J22" s="37" t="n">
        <x:f>SUMIFS('Income_Statement_Data'!$E$2:$E$613,'Income_Statement_Data'!$A$2:$A$613,J$3,'Income_Statement_Data'!$C$2:$C$613,"6110")</x:f>
        <x:v>-24800</x:v>
      </x:c>
      <x:c r="K22" s="37" t="n">
        <x:f>SUMIFS('Income_Statement_Data'!$E$2:$E$613,'Income_Statement_Data'!$A$2:$A$613,K$3,'Income_Statement_Data'!$C$2:$C$613,"6110")</x:f>
        <x:v>-25150</x:v>
      </x:c>
      <x:c r="L22" s="37" t="n">
        <x:f>SUMIFS('Income_Statement_Data'!$E$2:$E$613,'Income_Statement_Data'!$A$2:$A$613,L$3,'Income_Statement_Data'!$C$2:$C$613,"6110")</x:f>
        <x:v>-25500</x:v>
      </x:c>
      <x:c r="M22" s="37" t="n">
        <x:f>SUMIFS('Income_Statement_Data'!$E$2:$E$613,'Income_Statement_Data'!$A$2:$A$613,M$3,'Income_Statement_Data'!$C$2:$C$613,"6110")</x:f>
        <x:v>-25850</x:v>
      </x:c>
      <x:c r="N22" s="37" t="n">
        <x:f>SUMIFS('Income_Statement_Data'!$E$2:$E$613,'Income_Statement_Data'!$A$2:$A$613,N$3,'Income_Statement_Data'!$C$2:$C$613,"6110")</x:f>
        <x:v>-26200</x:v>
      </x:c>
      <x:c r="O22" s="37" t="n">
        <x:f>SUMIFS('Income_Statement_Data'!$E$2:$E$613,'Income_Statement_Data'!$A$2:$A$613,O$3,'Income_Statement_Data'!$C$2:$C$613,"6110")</x:f>
        <x:v>-26550</x:v>
      </x:c>
      <x:c r="P22" s="37" t="n">
        <x:f>SUMIFS('Income_Statement_Data'!$E$2:$E$613,'Income_Statement_Data'!$A$2:$A$613,P$3,'Income_Statement_Data'!$C$2:$C$613,"6110")</x:f>
        <x:v>-26900</x:v>
      </x:c>
      <x:c r="Q22" s="37" t="n">
        <x:f>SUMIFS('Income_Statement_Data'!$E$2:$E$613,'Income_Statement_Data'!$A$2:$A$613,Q$3,'Income_Statement_Data'!$C$2:$C$613,"6110")</x:f>
        <x:v>-27250</x:v>
      </x:c>
      <x:c r="R22" s="37" t="n">
        <x:f>SUMIFS('Income_Statement_Data'!$E$2:$E$613,'Income_Statement_Data'!$A$2:$A$613,R$3,'Income_Statement_Data'!$C$2:$C$613,"6110")</x:f>
        <x:v>-27600</x:v>
      </x:c>
      <x:c r="S22" s="37" t="n">
        <x:f>SUMIFS('Income_Statement_Data'!$E$2:$E$613,'Income_Statement_Data'!$A$2:$A$613,S$3,'Income_Statement_Data'!$C$2:$C$613,"6110")</x:f>
        <x:v>-27950</x:v>
      </x:c>
      <x:c r="T22" s="37" t="n">
        <x:f>SUMIFS('Income_Statement_Data'!$E$2:$E$613,'Income_Statement_Data'!$A$2:$A$613,T$3,'Income_Statement_Data'!$C$2:$C$613,"6110")</x:f>
        <x:v>-28300</x:v>
      </x:c>
      <x:c r="U22" s="37" t="n">
        <x:f>SUMIFS('Income_Statement_Data'!$E$2:$E$613,'Income_Statement_Data'!$A$2:$A$613,U$3,'Income_Statement_Data'!$C$2:$C$613,"6110")</x:f>
        <x:v>-28650</x:v>
      </x:c>
      <x:c r="V22" s="37" t="n">
        <x:f>SUMIFS('Income_Statement_Data'!$E$2:$E$613,'Income_Statement_Data'!$A$2:$A$613,V$3,'Income_Statement_Data'!$C$2:$C$613,"6110")</x:f>
        <x:v>-29000</x:v>
      </x:c>
      <x:c r="W22" s="37" t="n">
        <x:f>SUMIFS('Income_Statement_Data'!$E$2:$E$613,'Income_Statement_Data'!$A$2:$A$613,W$3,'Income_Statement_Data'!$C$2:$C$613,"6110")</x:f>
        <x:v>-29350</x:v>
      </x:c>
      <x:c r="X22" s="37" t="n">
        <x:f>SUMIFS('Income_Statement_Data'!$E$2:$E$613,'Income_Statement_Data'!$A$2:$A$613,X$3,'Income_Statement_Data'!$C$2:$C$613,"6110")</x:f>
        <x:v>-29700</x:v>
      </x:c>
      <x:c r="Y22" s="37" t="n">
        <x:f>SUMIFS('Income_Statement_Data'!$E$2:$E$613,'Income_Statement_Data'!$A$2:$A$613,Y$3,'Income_Statement_Data'!$C$2:$C$613,"6110")</x:f>
        <x:v>-30050</x:v>
      </x:c>
      <x:c r="Z22" s="37" t="n">
        <x:f>SUMIFS('Income_Statement_Data'!$E$2:$E$613,'Income_Statement_Data'!$A$2:$A$613,Z$3,'Income_Statement_Data'!$C$2:$C$613,"6110")</x:f>
        <x:v>-30400</x:v>
      </x:c>
      <x:c r="AA22" s="37" t="n">
        <x:f>SUMIFS('Income_Statement_Data'!$E$2:$E$613,'Income_Statement_Data'!$A$2:$A$613,AA$3,'Income_Statement_Data'!$C$2:$C$613,"6110")</x:f>
        <x:v>-30750</x:v>
      </x:c>
      <x:c r="AB22" s="37" t="n">
        <x:f>SUMIFS('Income_Statement_Data'!$E$2:$E$613,'Income_Statement_Data'!$A$2:$A$613,AB$3,'Income_Statement_Data'!$C$2:$C$613,"6110")</x:f>
        <x:v>-31100</x:v>
      </x:c>
      <x:c r="AC22" s="37" t="n">
        <x:f>SUMIFS('Income_Statement_Data'!$E$2:$E$613,'Income_Statement_Data'!$A$2:$A$613,AC$3,'Income_Statement_Data'!$C$2:$C$613,"6110")</x:f>
        <x:v>-31450</x:v>
      </x:c>
      <x:c r="AD22" s="37" t="n">
        <x:f>SUMIFS('Income_Statement_Data'!$E$2:$E$613,'Income_Statement_Data'!$A$2:$A$613,AD$3,'Income_Statement_Data'!$C$2:$C$613,"6110")</x:f>
        <x:v>-31800</x:v>
      </x:c>
      <x:c r="AE22" s="37" t="n">
        <x:f>SUMIFS('Income_Statement_Data'!$E$2:$E$613,'Income_Statement_Data'!$A$2:$A$613,AE$3,'Income_Statement_Data'!$C$2:$C$613,"6110")</x:f>
        <x:v>-32150</x:v>
      </x:c>
      <x:c r="AF22" s="37" t="n">
        <x:f>SUMIFS('Income_Statement_Data'!$E$2:$E$613,'Income_Statement_Data'!$A$2:$A$613,AF$3,'Income_Statement_Data'!$C$2:$C$613,"6110")</x:f>
        <x:v>-32500</x:v>
      </x:c>
      <x:c r="AG22" s="37" t="n">
        <x:f>SUMIFS('Income_Statement_Data'!$E$2:$E$613,'Income_Statement_Data'!$A$2:$A$613,AG$3,'Income_Statement_Data'!$C$2:$C$613,"6110")</x:f>
        <x:v>-32850</x:v>
      </x:c>
      <x:c r="AH22" s="37" t="n">
        <x:f>SUMIFS('Income_Statement_Data'!$E$2:$E$613,'Income_Statement_Data'!$A$2:$A$613,AH$3,'Income_Statement_Data'!$C$2:$C$613,"6110")</x:f>
        <x:v>-33200</x:v>
      </x:c>
      <x:c r="AI22" s="37" t="n">
        <x:f>SUMIFS('Income_Statement_Data'!$E$2:$E$613,'Income_Statement_Data'!$A$2:$A$613,AI$3,'Income_Statement_Data'!$C$2:$C$613,"6110")</x:f>
        <x:v>-33550</x:v>
      </x:c>
      <x:c r="AJ22" s="37" t="n">
        <x:f>SUMIFS('Income_Statement_Data'!$E$2:$E$613,'Income_Statement_Data'!$A$2:$A$613,AJ$3,'Income_Statement_Data'!$C$2:$C$613,"6110")</x:f>
        <x:v>-33900</x:v>
      </x:c>
      <x:c r="AK22" s="37" t="n">
        <x:f>SUMIFS('Income_Statement_Data'!$E$2:$E$613,'Income_Statement_Data'!$A$2:$A$613,AK$3,'Income_Statement_Data'!$C$2:$C$613,"6110")</x:f>
        <x:v>-34250</x:v>
      </x:c>
    </x:row>
    <x:row r="23">
      <x:c r="A23" s="36" t="str">
        <x:v>Deterioros</x:v>
      </x:c>
      <x:c r="B23" s="37" t="n">
        <x:f>SUMIFS('Income_Statement_Data'!$E$2:$E$613,'Income_Statement_Data'!$A$2:$A$613,B$3,'Income_Statement_Data'!$C$2:$C$613,"6200")</x:f>
        <x:v>0</x:v>
      </x:c>
      <x:c r="C23" s="37" t="n">
        <x:f>SUMIFS('Income_Statement_Data'!$E$2:$E$613,'Income_Statement_Data'!$A$2:$A$613,C$3,'Income_Statement_Data'!$C$2:$C$613,"6200")</x:f>
        <x:v>0</x:v>
      </x:c>
      <x:c r="D23" s="37" t="n">
        <x:f>SUMIFS('Income_Statement_Data'!$E$2:$E$613,'Income_Statement_Data'!$A$2:$A$613,D$3,'Income_Statement_Data'!$C$2:$C$613,"6200")</x:f>
        <x:v>0</x:v>
      </x:c>
      <x:c r="E23" s="37" t="n">
        <x:f>SUMIFS('Income_Statement_Data'!$E$2:$E$613,'Income_Statement_Data'!$A$2:$A$613,E$3,'Income_Statement_Data'!$C$2:$C$613,"6200")</x:f>
        <x:v>0</x:v>
      </x:c>
      <x:c r="F23" s="37" t="n">
        <x:f>SUMIFS('Income_Statement_Data'!$E$2:$E$613,'Income_Statement_Data'!$A$2:$A$613,F$3,'Income_Statement_Data'!$C$2:$C$613,"6200")</x:f>
        <x:v>0</x:v>
      </x:c>
      <x:c r="G23" s="37" t="n">
        <x:f>SUMIFS('Income_Statement_Data'!$E$2:$E$613,'Income_Statement_Data'!$A$2:$A$613,G$3,'Income_Statement_Data'!$C$2:$C$613,"6200")</x:f>
        <x:v>0</x:v>
      </x:c>
      <x:c r="H23" s="37" t="n">
        <x:f>SUMIFS('Income_Statement_Data'!$E$2:$E$613,'Income_Statement_Data'!$A$2:$A$613,H$3,'Income_Statement_Data'!$C$2:$C$613,"6200")</x:f>
        <x:v>0</x:v>
      </x:c>
      <x:c r="I23" s="37" t="n">
        <x:f>SUMIFS('Income_Statement_Data'!$E$2:$E$613,'Income_Statement_Data'!$A$2:$A$613,I$3,'Income_Statement_Data'!$C$2:$C$613,"6200")</x:f>
        <x:v>0</x:v>
      </x:c>
      <x:c r="J23" s="37" t="n">
        <x:f>SUMIFS('Income_Statement_Data'!$E$2:$E$613,'Income_Statement_Data'!$A$2:$A$613,J$3,'Income_Statement_Data'!$C$2:$C$613,"6200")</x:f>
        <x:v>0</x:v>
      </x:c>
      <x:c r="K23" s="37" t="n">
        <x:f>SUMIFS('Income_Statement_Data'!$E$2:$E$613,'Income_Statement_Data'!$A$2:$A$613,K$3,'Income_Statement_Data'!$C$2:$C$613,"6200")</x:f>
        <x:v>0</x:v>
      </x:c>
      <x:c r="L23" s="37" t="n">
        <x:f>SUMIFS('Income_Statement_Data'!$E$2:$E$613,'Income_Statement_Data'!$A$2:$A$613,L$3,'Income_Statement_Data'!$C$2:$C$613,"6200")</x:f>
        <x:v>0</x:v>
      </x:c>
      <x:c r="M23" s="37" t="n">
        <x:f>SUMIFS('Income_Statement_Data'!$E$2:$E$613,'Income_Statement_Data'!$A$2:$A$613,M$3,'Income_Statement_Data'!$C$2:$C$613,"6200")</x:f>
        <x:v>0</x:v>
      </x:c>
      <x:c r="N23" s="37" t="n">
        <x:f>SUMIFS('Income_Statement_Data'!$E$2:$E$613,'Income_Statement_Data'!$A$2:$A$613,N$3,'Income_Statement_Data'!$C$2:$C$613,"6200")</x:f>
        <x:v>0</x:v>
      </x:c>
      <x:c r="O23" s="37" t="n">
        <x:f>SUMIFS('Income_Statement_Data'!$E$2:$E$613,'Income_Statement_Data'!$A$2:$A$613,O$3,'Income_Statement_Data'!$C$2:$C$613,"6200")</x:f>
        <x:v>0</x:v>
      </x:c>
      <x:c r="P23" s="37" t="n">
        <x:f>SUMIFS('Income_Statement_Data'!$E$2:$E$613,'Income_Statement_Data'!$A$2:$A$613,P$3,'Income_Statement_Data'!$C$2:$C$613,"6200")</x:f>
        <x:v>0</x:v>
      </x:c>
      <x:c r="Q23" s="37" t="n">
        <x:f>SUMIFS('Income_Statement_Data'!$E$2:$E$613,'Income_Statement_Data'!$A$2:$A$613,Q$3,'Income_Statement_Data'!$C$2:$C$613,"6200")</x:f>
        <x:v>0</x:v>
      </x:c>
      <x:c r="R23" s="37" t="n">
        <x:f>SUMIFS('Income_Statement_Data'!$E$2:$E$613,'Income_Statement_Data'!$A$2:$A$613,R$3,'Income_Statement_Data'!$C$2:$C$613,"6200")</x:f>
        <x:v>0</x:v>
      </x:c>
      <x:c r="S23" s="37" t="n">
        <x:f>SUMIFS('Income_Statement_Data'!$E$2:$E$613,'Income_Statement_Data'!$A$2:$A$613,S$3,'Income_Statement_Data'!$C$2:$C$613,"6200")</x:f>
        <x:v>-80000</x:v>
      </x:c>
      <x:c r="T23" s="37" t="n">
        <x:f>SUMIFS('Income_Statement_Data'!$E$2:$E$613,'Income_Statement_Data'!$A$2:$A$613,T$3,'Income_Statement_Data'!$C$2:$C$613,"6200")</x:f>
        <x:v>0</x:v>
      </x:c>
      <x:c r="U23" s="37" t="n">
        <x:f>SUMIFS('Income_Statement_Data'!$E$2:$E$613,'Income_Statement_Data'!$A$2:$A$613,U$3,'Income_Statement_Data'!$C$2:$C$613,"6200")</x:f>
        <x:v>0</x:v>
      </x:c>
      <x:c r="V23" s="37" t="n">
        <x:f>SUMIFS('Income_Statement_Data'!$E$2:$E$613,'Income_Statement_Data'!$A$2:$A$613,V$3,'Income_Statement_Data'!$C$2:$C$613,"6200")</x:f>
        <x:v>0</x:v>
      </x:c>
      <x:c r="W23" s="37" t="n">
        <x:f>SUMIFS('Income_Statement_Data'!$E$2:$E$613,'Income_Statement_Data'!$A$2:$A$613,W$3,'Income_Statement_Data'!$C$2:$C$613,"6200")</x:f>
        <x:v>0</x:v>
      </x:c>
      <x:c r="X23" s="37" t="n">
        <x:f>SUMIFS('Income_Statement_Data'!$E$2:$E$613,'Income_Statement_Data'!$A$2:$A$613,X$3,'Income_Statement_Data'!$C$2:$C$613,"6200")</x:f>
        <x:v>0</x:v>
      </x:c>
      <x:c r="Y23" s="37" t="n">
        <x:f>SUMIFS('Income_Statement_Data'!$E$2:$E$613,'Income_Statement_Data'!$A$2:$A$613,Y$3,'Income_Statement_Data'!$C$2:$C$613,"6200")</x:f>
        <x:v>0</x:v>
      </x:c>
      <x:c r="Z23" s="37" t="n">
        <x:f>SUMIFS('Income_Statement_Data'!$E$2:$E$613,'Income_Statement_Data'!$A$2:$A$613,Z$3,'Income_Statement_Data'!$C$2:$C$613,"6200")</x:f>
        <x:v>0</x:v>
      </x:c>
      <x:c r="AA23" s="37" t="n">
        <x:f>SUMIFS('Income_Statement_Data'!$E$2:$E$613,'Income_Statement_Data'!$A$2:$A$613,AA$3,'Income_Statement_Data'!$C$2:$C$613,"6200")</x:f>
        <x:v>0</x:v>
      </x:c>
      <x:c r="AB23" s="37" t="n">
        <x:f>SUMIFS('Income_Statement_Data'!$E$2:$E$613,'Income_Statement_Data'!$A$2:$A$613,AB$3,'Income_Statement_Data'!$C$2:$C$613,"6200")</x:f>
        <x:v>0</x:v>
      </x:c>
      <x:c r="AC23" s="37" t="n">
        <x:f>SUMIFS('Income_Statement_Data'!$E$2:$E$613,'Income_Statement_Data'!$A$2:$A$613,AC$3,'Income_Statement_Data'!$C$2:$C$613,"6200")</x:f>
        <x:v>0</x:v>
      </x:c>
      <x:c r="AD23" s="37" t="n">
        <x:f>SUMIFS('Income_Statement_Data'!$E$2:$E$613,'Income_Statement_Data'!$A$2:$A$613,AD$3,'Income_Statement_Data'!$C$2:$C$613,"6200")</x:f>
        <x:v>0</x:v>
      </x:c>
      <x:c r="AE23" s="37" t="n">
        <x:f>SUMIFS('Income_Statement_Data'!$E$2:$E$613,'Income_Statement_Data'!$A$2:$A$613,AE$3,'Income_Statement_Data'!$C$2:$C$613,"6200")</x:f>
        <x:v>0</x:v>
      </x:c>
      <x:c r="AF23" s="37" t="n">
        <x:f>SUMIFS('Income_Statement_Data'!$E$2:$E$613,'Income_Statement_Data'!$A$2:$A$613,AF$3,'Income_Statement_Data'!$C$2:$C$613,"6200")</x:f>
        <x:v>0</x:v>
      </x:c>
      <x:c r="AG23" s="37" t="n">
        <x:f>SUMIFS('Income_Statement_Data'!$E$2:$E$613,'Income_Statement_Data'!$A$2:$A$613,AG$3,'Income_Statement_Data'!$C$2:$C$613,"6200")</x:f>
        <x:v>0</x:v>
      </x:c>
      <x:c r="AH23" s="37" t="n">
        <x:f>SUMIFS('Income_Statement_Data'!$E$2:$E$613,'Income_Statement_Data'!$A$2:$A$613,AH$3,'Income_Statement_Data'!$C$2:$C$613,"6200")</x:f>
        <x:v>0</x:v>
      </x:c>
      <x:c r="AI23" s="37" t="n">
        <x:f>SUMIFS('Income_Statement_Data'!$E$2:$E$613,'Income_Statement_Data'!$A$2:$A$613,AI$3,'Income_Statement_Data'!$C$2:$C$613,"6200")</x:f>
        <x:v>0</x:v>
      </x:c>
      <x:c r="AJ23" s="37" t="n">
        <x:f>SUMIFS('Income_Statement_Data'!$E$2:$E$613,'Income_Statement_Data'!$A$2:$A$613,AJ$3,'Income_Statement_Data'!$C$2:$C$613,"6200")</x:f>
        <x:v>0</x:v>
      </x:c>
      <x:c r="AK23" s="37" t="n">
        <x:f>SUMIFS('Income_Statement_Data'!$E$2:$E$613,'Income_Statement_Data'!$A$2:$A$613,AK$3,'Income_Statement_Data'!$C$2:$C$613,"6200")</x:f>
        <x:v>0</x:v>
      </x:c>
    </x:row>
    <x:row r="24">
      <x:c r="A24" s="36" t="str">
        <x:v>Resultado por venta de activos</x:v>
      </x:c>
      <x:c r="B24" s="37" t="n">
        <x:f>SUMIFS('Income_Statement_Data'!$E$2:$E$613,'Income_Statement_Data'!$A$2:$A$613,B$3,'Income_Statement_Data'!$C$2:$C$613,"6300")</x:f>
        <x:v>0</x:v>
      </x:c>
      <x:c r="C24" s="37" t="n">
        <x:f>SUMIFS('Income_Statement_Data'!$E$2:$E$613,'Income_Statement_Data'!$A$2:$A$613,C$3,'Income_Statement_Data'!$C$2:$C$613,"6300")</x:f>
        <x:v>0</x:v>
      </x:c>
      <x:c r="D24" s="37" t="n">
        <x:f>SUMIFS('Income_Statement_Data'!$E$2:$E$613,'Income_Statement_Data'!$A$2:$A$613,D$3,'Income_Statement_Data'!$C$2:$C$613,"6300")</x:f>
        <x:v>0</x:v>
      </x:c>
      <x:c r="E24" s="37" t="n">
        <x:f>SUMIFS('Income_Statement_Data'!$E$2:$E$613,'Income_Statement_Data'!$A$2:$A$613,E$3,'Income_Statement_Data'!$C$2:$C$613,"6300")</x:f>
        <x:v>0</x:v>
      </x:c>
      <x:c r="F24" s="37" t="n">
        <x:f>SUMIFS('Income_Statement_Data'!$E$2:$E$613,'Income_Statement_Data'!$A$2:$A$613,F$3,'Income_Statement_Data'!$C$2:$C$613,"6300")</x:f>
        <x:v>0</x:v>
      </x:c>
      <x:c r="G24" s="37" t="n">
        <x:f>SUMIFS('Income_Statement_Data'!$E$2:$E$613,'Income_Statement_Data'!$A$2:$A$613,G$3,'Income_Statement_Data'!$C$2:$C$613,"6300")</x:f>
        <x:v>0</x:v>
      </x:c>
      <x:c r="H24" s="37" t="n">
        <x:f>SUMIFS('Income_Statement_Data'!$E$2:$E$613,'Income_Statement_Data'!$A$2:$A$613,H$3,'Income_Statement_Data'!$C$2:$C$613,"6300")</x:f>
        <x:v>0</x:v>
      </x:c>
      <x:c r="I24" s="37" t="n">
        <x:f>SUMIFS('Income_Statement_Data'!$E$2:$E$613,'Income_Statement_Data'!$A$2:$A$613,I$3,'Income_Statement_Data'!$C$2:$C$613,"6300")</x:f>
        <x:v>0</x:v>
      </x:c>
      <x:c r="J24" s="37" t="n">
        <x:f>SUMIFS('Income_Statement_Data'!$E$2:$E$613,'Income_Statement_Data'!$A$2:$A$613,J$3,'Income_Statement_Data'!$C$2:$C$613,"6300")</x:f>
        <x:v>0</x:v>
      </x:c>
      <x:c r="K24" s="37" t="n">
        <x:f>SUMIFS('Income_Statement_Data'!$E$2:$E$613,'Income_Statement_Data'!$A$2:$A$613,K$3,'Income_Statement_Data'!$C$2:$C$613,"6300")</x:f>
        <x:v>0</x:v>
      </x:c>
      <x:c r="L24" s="37" t="n">
        <x:f>SUMIFS('Income_Statement_Data'!$E$2:$E$613,'Income_Statement_Data'!$A$2:$A$613,L$3,'Income_Statement_Data'!$C$2:$C$613,"6300")</x:f>
        <x:v>0</x:v>
      </x:c>
      <x:c r="M24" s="37" t="n">
        <x:f>SUMIFS('Income_Statement_Data'!$E$2:$E$613,'Income_Statement_Data'!$A$2:$A$613,M$3,'Income_Statement_Data'!$C$2:$C$613,"6300")</x:f>
        <x:v>0</x:v>
      </x:c>
      <x:c r="N24" s="37" t="n">
        <x:f>SUMIFS('Income_Statement_Data'!$E$2:$E$613,'Income_Statement_Data'!$A$2:$A$613,N$3,'Income_Statement_Data'!$C$2:$C$613,"6300")</x:f>
        <x:v>0</x:v>
      </x:c>
      <x:c r="O24" s="37" t="n">
        <x:f>SUMIFS('Income_Statement_Data'!$E$2:$E$613,'Income_Statement_Data'!$A$2:$A$613,O$3,'Income_Statement_Data'!$C$2:$C$613,"6300")</x:f>
        <x:v>0</x:v>
      </x:c>
      <x:c r="P24" s="37" t="n">
        <x:f>SUMIFS('Income_Statement_Data'!$E$2:$E$613,'Income_Statement_Data'!$A$2:$A$613,P$3,'Income_Statement_Data'!$C$2:$C$613,"6300")</x:f>
        <x:v>0</x:v>
      </x:c>
      <x:c r="Q24" s="37" t="n">
        <x:f>SUMIFS('Income_Statement_Data'!$E$2:$E$613,'Income_Statement_Data'!$A$2:$A$613,Q$3,'Income_Statement_Data'!$C$2:$C$613,"6300")</x:f>
        <x:v>0</x:v>
      </x:c>
      <x:c r="R24" s="37" t="n">
        <x:f>SUMIFS('Income_Statement_Data'!$E$2:$E$613,'Income_Statement_Data'!$A$2:$A$613,R$3,'Income_Statement_Data'!$C$2:$C$613,"6300")</x:f>
        <x:v>0</x:v>
      </x:c>
      <x:c r="S24" s="37" t="n">
        <x:f>SUMIFS('Income_Statement_Data'!$E$2:$E$613,'Income_Statement_Data'!$A$2:$A$613,S$3,'Income_Statement_Data'!$C$2:$C$613,"6300")</x:f>
        <x:v>0</x:v>
      </x:c>
      <x:c r="T24" s="37" t="n">
        <x:f>SUMIFS('Income_Statement_Data'!$E$2:$E$613,'Income_Statement_Data'!$A$2:$A$613,T$3,'Income_Statement_Data'!$C$2:$C$613,"6300")</x:f>
        <x:v>0</x:v>
      </x:c>
      <x:c r="U24" s="37" t="n">
        <x:f>SUMIFS('Income_Statement_Data'!$E$2:$E$613,'Income_Statement_Data'!$A$2:$A$613,U$3,'Income_Statement_Data'!$C$2:$C$613,"6300")</x:f>
        <x:v>0</x:v>
      </x:c>
      <x:c r="V24" s="37" t="n">
        <x:f>SUMIFS('Income_Statement_Data'!$E$2:$E$613,'Income_Statement_Data'!$A$2:$A$613,V$3,'Income_Statement_Data'!$C$2:$C$613,"6300")</x:f>
        <x:v>30000</x:v>
      </x:c>
      <x:c r="W24" s="37" t="n">
        <x:f>SUMIFS('Income_Statement_Data'!$E$2:$E$613,'Income_Statement_Data'!$A$2:$A$613,W$3,'Income_Statement_Data'!$C$2:$C$613,"6300")</x:f>
        <x:v>0</x:v>
      </x:c>
      <x:c r="X24" s="37" t="n">
        <x:f>SUMIFS('Income_Statement_Data'!$E$2:$E$613,'Income_Statement_Data'!$A$2:$A$613,X$3,'Income_Statement_Data'!$C$2:$C$613,"6300")</x:f>
        <x:v>0</x:v>
      </x:c>
      <x:c r="Y24" s="37" t="n">
        <x:f>SUMIFS('Income_Statement_Data'!$E$2:$E$613,'Income_Statement_Data'!$A$2:$A$613,Y$3,'Income_Statement_Data'!$C$2:$C$613,"6300")</x:f>
        <x:v>0</x:v>
      </x:c>
      <x:c r="Z24" s="37" t="n">
        <x:f>SUMIFS('Income_Statement_Data'!$E$2:$E$613,'Income_Statement_Data'!$A$2:$A$613,Z$3,'Income_Statement_Data'!$C$2:$C$613,"6300")</x:f>
        <x:v>0</x:v>
      </x:c>
      <x:c r="AA24" s="37" t="n">
        <x:f>SUMIFS('Income_Statement_Data'!$E$2:$E$613,'Income_Statement_Data'!$A$2:$A$613,AA$3,'Income_Statement_Data'!$C$2:$C$613,"6300")</x:f>
        <x:v>0</x:v>
      </x:c>
      <x:c r="AB24" s="37" t="n">
        <x:f>SUMIFS('Income_Statement_Data'!$E$2:$E$613,'Income_Statement_Data'!$A$2:$A$613,AB$3,'Income_Statement_Data'!$C$2:$C$613,"6300")</x:f>
        <x:v>0</x:v>
      </x:c>
      <x:c r="AC24" s="37" t="n">
        <x:f>SUMIFS('Income_Statement_Data'!$E$2:$E$613,'Income_Statement_Data'!$A$2:$A$613,AC$3,'Income_Statement_Data'!$C$2:$C$613,"6300")</x:f>
        <x:v>0</x:v>
      </x:c>
      <x:c r="AD24" s="37" t="n">
        <x:f>SUMIFS('Income_Statement_Data'!$E$2:$E$613,'Income_Statement_Data'!$A$2:$A$613,AD$3,'Income_Statement_Data'!$C$2:$C$613,"6300")</x:f>
        <x:v>0</x:v>
      </x:c>
      <x:c r="AE24" s="37" t="n">
        <x:f>SUMIFS('Income_Statement_Data'!$E$2:$E$613,'Income_Statement_Data'!$A$2:$A$613,AE$3,'Income_Statement_Data'!$C$2:$C$613,"6300")</x:f>
        <x:v>0</x:v>
      </x:c>
      <x:c r="AF24" s="37" t="n">
        <x:f>SUMIFS('Income_Statement_Data'!$E$2:$E$613,'Income_Statement_Data'!$A$2:$A$613,AF$3,'Income_Statement_Data'!$C$2:$C$613,"6300")</x:f>
        <x:v>0</x:v>
      </x:c>
      <x:c r="AG24" s="37" t="n">
        <x:f>SUMIFS('Income_Statement_Data'!$E$2:$E$613,'Income_Statement_Data'!$A$2:$A$613,AG$3,'Income_Statement_Data'!$C$2:$C$613,"6300")</x:f>
        <x:v>0</x:v>
      </x:c>
      <x:c r="AH24" s="37" t="n">
        <x:f>SUMIFS('Income_Statement_Data'!$E$2:$E$613,'Income_Statement_Data'!$A$2:$A$613,AH$3,'Income_Statement_Data'!$C$2:$C$613,"6300")</x:f>
        <x:v>0</x:v>
      </x:c>
      <x:c r="AI24" s="37" t="n">
        <x:f>SUMIFS('Income_Statement_Data'!$E$2:$E$613,'Income_Statement_Data'!$A$2:$A$613,AI$3,'Income_Statement_Data'!$C$2:$C$613,"6300")</x:f>
        <x:v>0</x:v>
      </x:c>
      <x:c r="AJ24" s="37" t="n">
        <x:f>SUMIFS('Income_Statement_Data'!$E$2:$E$613,'Income_Statement_Data'!$A$2:$A$613,AJ$3,'Income_Statement_Data'!$C$2:$C$613,"6300")</x:f>
        <x:v>0</x:v>
      </x:c>
      <x:c r="AK24" s="37" t="n">
        <x:f>SUMIFS('Income_Statement_Data'!$E$2:$E$613,'Income_Statement_Data'!$A$2:$A$613,AK$3,'Income_Statement_Data'!$C$2:$C$613,"6300")</x:f>
        <x:v>0</x:v>
      </x:c>
    </x:row>
    <x:row r="25">
      <x:c r="A25" s="38" t="str">
        <x:v>EBIT</x:v>
      </x:c>
      <x:c r="B25" s="39" t="n">
        <x:f>SUM(B19,B21:B24)</x:f>
        <x:v>319310</x:v>
      </x:c>
      <x:c r="C25" s="39" t="n">
        <x:f>SUM(C19,C21:C24)</x:f>
        <x:v>334274</x:v>
      </x:c>
      <x:c r="D25" s="39" t="n">
        <x:f>SUM(D19,D21:D24)</x:f>
        <x:v>369869</x:v>
      </x:c>
      <x:c r="E25" s="39" t="n">
        <x:f>SUM(E19,E21:E24)</x:f>
        <x:v>360732</x:v>
      </x:c>
      <x:c r="F25" s="39" t="n">
        <x:f>SUM(F19,F21:F24)</x:f>
        <x:v>382341</x:v>
      </x:c>
      <x:c r="G25" s="39" t="n">
        <x:f>SUM(G19,G21:G24)</x:f>
        <x:v>394211</x:v>
      </x:c>
      <x:c r="H25" s="39" t="n">
        <x:f>SUM(H19,H21:H24)</x:f>
        <x:v>359656</x:v>
      </x:c>
      <x:c r="I25" s="39" t="n">
        <x:f>SUM(I19,I21:I24)</x:f>
        <x:v>334991</x:v>
      </x:c>
      <x:c r="J25" s="39" t="n">
        <x:f>SUM(J19,J21:J24)</x:f>
        <x:v>404927</x:v>
      </x:c>
      <x:c r="K25" s="39" t="n">
        <x:f>SUM(K19,K21:K24)</x:f>
        <x:v>422593</x:v>
      </x:c>
      <x:c r="L25" s="39" t="n">
        <x:f>SUM(L19,L21:L24)</x:f>
        <x:v>445634</x:v>
      </x:c>
      <x:c r="M25" s="39" t="n">
        <x:f>SUM(M19,M21:M24)</x:f>
        <x:v>490284</x:v>
      </x:c>
      <x:c r="N25" s="39" t="n">
        <x:f>SUM(N19,N21:N24)</x:f>
        <x:v>328380</x:v>
      </x:c>
      <x:c r="O25" s="39" t="n">
        <x:f>SUM(O19,O21:O24)</x:f>
        <x:v>344704</x:v>
      </x:c>
      <x:c r="P25" s="39" t="n">
        <x:f>SUM(P19,P21:P24)</x:f>
        <x:v>382831</x:v>
      </x:c>
      <x:c r="Q25" s="39" t="n">
        <x:f>SUM(Q19,Q21:Q24)</x:f>
        <x:v>286375</x:v>
      </x:c>
      <x:c r="R25" s="39" t="n">
        <x:f>SUM(R19,R21:R24)</x:f>
        <x:v>303739</x:v>
      </x:c>
      <x:c r="S25" s="39" t="n">
        <x:f>SUM(S19,S21:S24)</x:f>
        <x:v>231591</x:v>
      </x:c>
      <x:c r="T25" s="39" t="n">
        <x:f>SUM(T19,T21:T24)</x:f>
        <x:v>306119</x:v>
      </x:c>
      <x:c r="U25" s="39" t="n">
        <x:f>SUM(U19,U21:U24)</x:f>
        <x:v>332809</x:v>
      </x:c>
      <x:c r="V25" s="39" t="n">
        <x:f>SUM(V19,V21:V24)</x:f>
        <x:v>434063</x:v>
      </x:c>
      <x:c r="W25" s="39" t="n">
        <x:f>SUM(W19,W21:W24)</x:f>
        <x:v>419646</x:v>
      </x:c>
      <x:c r="X25" s="39" t="n">
        <x:f>SUM(X19,X21:X24)</x:f>
        <x:v>441163</x:v>
      </x:c>
      <x:c r="Y25" s="39" t="n">
        <x:f>SUM(Y19,Y21:Y24)</x:f>
        <x:v>485750</x:v>
      </x:c>
      <x:c r="Z25" s="39" t="n">
        <x:f>SUM(Z19,Z21:Z24)</x:f>
        <x:v>303473</x:v>
      </x:c>
      <x:c r="AA25" s="39" t="n">
        <x:f>SUM(AA19,AA21:AA24)</x:f>
        <x:v>319712</x:v>
      </x:c>
      <x:c r="AB25" s="39" t="n">
        <x:f>SUM(AB19,AB21:AB24)</x:f>
        <x:v>378507</x:v>
      </x:c>
      <x:c r="AC25" s="39" t="n">
        <x:f>SUM(AC19,AC21:AC24)</x:f>
        <x:v>408600</x:v>
      </x:c>
      <x:c r="AD25" s="39" t="n">
        <x:f>SUM(AD19,AD21:AD24)</x:f>
        <x:v>435041</x:v>
      </x:c>
      <x:c r="AE25" s="39" t="n">
        <x:f>SUM(AE19,AE21:AE24)</x:f>
        <x:v>449500</x:v>
      </x:c>
      <x:c r="AF25" s="39" t="n">
        <x:f>SUM(AF19,AF21:AF24)</x:f>
        <x:v>406947</x:v>
      </x:c>
      <x:c r="AG25" s="39" t="n">
        <x:f>SUM(AG19,AG21:AG24)</x:f>
        <x:v>376745</x:v>
      </x:c>
      <x:c r="AH25" s="39" t="n">
        <x:f>SUM(AH19,AH21:AH24)</x:f>
        <x:v>462852</x:v>
      </x:c>
      <x:c r="AI25" s="39" t="n">
        <x:f>SUM(AI19,AI21:AI24)</x:f>
        <x:v>484851</x:v>
      </x:c>
      <x:c r="AJ25" s="39" t="n">
        <x:f>SUM(AJ19,AJ21:AJ24)</x:f>
        <x:v>513564</x:v>
      </x:c>
      <x:c r="AK25" s="39" t="n">
        <x:f>SUM(AK19,AK21:AK24)</x:f>
        <x:v>568887</x:v>
      </x:c>
    </x:row>
    <x:row r="26">
      <x:c r="A26" s="36" t="str">
        <x:v>Gastos financieros</x:v>
      </x:c>
      <x:c r="B26" s="37" t="n">
        <x:f>SUMIFS('Income_Statement_Data'!$E$2:$E$613,'Income_Statement_Data'!$A$2:$A$613,B$3,'Income_Statement_Data'!$C$2:$C$613,"7000")</x:f>
        <x:v>-36000</x:v>
      </x:c>
      <x:c r="C26" s="37" t="n">
        <x:f>SUMIFS('Income_Statement_Data'!$E$2:$E$613,'Income_Statement_Data'!$A$2:$A$613,C$3,'Income_Statement_Data'!$C$2:$C$613,"7000")</x:f>
        <x:v>-36000</x:v>
      </x:c>
      <x:c r="D26" s="37" t="n">
        <x:f>SUMIFS('Income_Statement_Data'!$E$2:$E$613,'Income_Statement_Data'!$A$2:$A$613,D$3,'Income_Statement_Data'!$C$2:$C$613,"7000")</x:f>
        <x:v>-36000</x:v>
      </x:c>
      <x:c r="E26" s="37" t="n">
        <x:f>SUMIFS('Income_Statement_Data'!$E$2:$E$613,'Income_Statement_Data'!$A$2:$A$613,E$3,'Income_Statement_Data'!$C$2:$C$613,"7000")</x:f>
        <x:v>-36000</x:v>
      </x:c>
      <x:c r="F26" s="37" t="n">
        <x:f>SUMIFS('Income_Statement_Data'!$E$2:$E$613,'Income_Statement_Data'!$A$2:$A$613,F$3,'Income_Statement_Data'!$C$2:$C$613,"7000")</x:f>
        <x:v>-36000</x:v>
      </x:c>
      <x:c r="G26" s="37" t="n">
        <x:f>SUMIFS('Income_Statement_Data'!$E$2:$E$613,'Income_Statement_Data'!$A$2:$A$613,G$3,'Income_Statement_Data'!$C$2:$C$613,"7000")</x:f>
        <x:v>-36000</x:v>
      </x:c>
      <x:c r="H26" s="37" t="n">
        <x:f>SUMIFS('Income_Statement_Data'!$E$2:$E$613,'Income_Statement_Data'!$A$2:$A$613,H$3,'Income_Statement_Data'!$C$2:$C$613,"7000")</x:f>
        <x:v>-36000</x:v>
      </x:c>
      <x:c r="I26" s="37" t="n">
        <x:f>SUMIFS('Income_Statement_Data'!$E$2:$E$613,'Income_Statement_Data'!$A$2:$A$613,I$3,'Income_Statement_Data'!$C$2:$C$613,"7000")</x:f>
        <x:v>-36000</x:v>
      </x:c>
      <x:c r="J26" s="37" t="n">
        <x:f>SUMIFS('Income_Statement_Data'!$E$2:$E$613,'Income_Statement_Data'!$A$2:$A$613,J$3,'Income_Statement_Data'!$C$2:$C$613,"7000")</x:f>
        <x:v>-36000</x:v>
      </x:c>
      <x:c r="K26" s="37" t="n">
        <x:f>SUMIFS('Income_Statement_Data'!$E$2:$E$613,'Income_Statement_Data'!$A$2:$A$613,K$3,'Income_Statement_Data'!$C$2:$C$613,"7000")</x:f>
        <x:v>-36000</x:v>
      </x:c>
      <x:c r="L26" s="37" t="n">
        <x:f>SUMIFS('Income_Statement_Data'!$E$2:$E$613,'Income_Statement_Data'!$A$2:$A$613,L$3,'Income_Statement_Data'!$C$2:$C$613,"7000")</x:f>
        <x:v>-36000</x:v>
      </x:c>
      <x:c r="M26" s="37" t="n">
        <x:f>SUMIFS('Income_Statement_Data'!$E$2:$E$613,'Income_Statement_Data'!$A$2:$A$613,M$3,'Income_Statement_Data'!$C$2:$C$613,"7000")</x:f>
        <x:v>-36000</x:v>
      </x:c>
      <x:c r="N26" s="37" t="n">
        <x:f>SUMIFS('Income_Statement_Data'!$E$2:$E$613,'Income_Statement_Data'!$A$2:$A$613,N$3,'Income_Statement_Data'!$C$2:$C$613,"7000")</x:f>
        <x:v>-36000</x:v>
      </x:c>
      <x:c r="O26" s="37" t="n">
        <x:f>SUMIFS('Income_Statement_Data'!$E$2:$E$613,'Income_Statement_Data'!$A$2:$A$613,O$3,'Income_Statement_Data'!$C$2:$C$613,"7000")</x:f>
        <x:v>-36000</x:v>
      </x:c>
      <x:c r="P26" s="37" t="n">
        <x:f>SUMIFS('Income_Statement_Data'!$E$2:$E$613,'Income_Statement_Data'!$A$2:$A$613,P$3,'Income_Statement_Data'!$C$2:$C$613,"7000")</x:f>
        <x:v>-36000</x:v>
      </x:c>
      <x:c r="Q26" s="37" t="n">
        <x:f>SUMIFS('Income_Statement_Data'!$E$2:$E$613,'Income_Statement_Data'!$A$2:$A$613,Q$3,'Income_Statement_Data'!$C$2:$C$613,"7000")</x:f>
        <x:v>-36000</x:v>
      </x:c>
      <x:c r="R26" s="37" t="n">
        <x:f>SUMIFS('Income_Statement_Data'!$E$2:$E$613,'Income_Statement_Data'!$A$2:$A$613,R$3,'Income_Statement_Data'!$C$2:$C$613,"7000")</x:f>
        <x:v>-36000</x:v>
      </x:c>
      <x:c r="S26" s="37" t="n">
        <x:f>SUMIFS('Income_Statement_Data'!$E$2:$E$613,'Income_Statement_Data'!$A$2:$A$613,S$3,'Income_Statement_Data'!$C$2:$C$613,"7000")</x:f>
        <x:v>-38138</x:v>
      </x:c>
      <x:c r="T26" s="37" t="n">
        <x:f>SUMIFS('Income_Statement_Data'!$E$2:$E$613,'Income_Statement_Data'!$A$2:$A$613,T$3,'Income_Statement_Data'!$C$2:$C$613,"7000")</x:f>
        <x:v>-37575</x:v>
      </x:c>
      <x:c r="U26" s="37" t="n">
        <x:f>SUMIFS('Income_Statement_Data'!$E$2:$E$613,'Income_Statement_Data'!$A$2:$A$613,U$3,'Income_Statement_Data'!$C$2:$C$613,"7000")</x:f>
        <x:v>-37575</x:v>
      </x:c>
      <x:c r="V26" s="37" t="n">
        <x:f>SUMIFS('Income_Statement_Data'!$E$2:$E$613,'Income_Statement_Data'!$A$2:$A$613,V$3,'Income_Statement_Data'!$C$2:$C$613,"7000")</x:f>
        <x:v>-37575</x:v>
      </x:c>
      <x:c r="W26" s="37" t="n">
        <x:f>SUMIFS('Income_Statement_Data'!$E$2:$E$613,'Income_Statement_Data'!$A$2:$A$613,W$3,'Income_Statement_Data'!$C$2:$C$613,"7000")</x:f>
        <x:v>-37013</x:v>
      </x:c>
      <x:c r="X26" s="37" t="n">
        <x:f>SUMIFS('Income_Statement_Data'!$E$2:$E$613,'Income_Statement_Data'!$A$2:$A$613,X$3,'Income_Statement_Data'!$C$2:$C$613,"7000")</x:f>
        <x:v>-37013</x:v>
      </x:c>
      <x:c r="Y26" s="37" t="n">
        <x:f>SUMIFS('Income_Statement_Data'!$E$2:$E$613,'Income_Statement_Data'!$A$2:$A$613,Y$3,'Income_Statement_Data'!$C$2:$C$613,"7000")</x:f>
        <x:v>-37013</x:v>
      </x:c>
      <x:c r="Z26" s="37" t="n">
        <x:f>SUMIFS('Income_Statement_Data'!$E$2:$E$613,'Income_Statement_Data'!$A$2:$A$613,Z$3,'Income_Statement_Data'!$C$2:$C$613,"7000")</x:f>
        <x:v>-36450</x:v>
      </x:c>
      <x:c r="AA26" s="37" t="n">
        <x:f>SUMIFS('Income_Statement_Data'!$E$2:$E$613,'Income_Statement_Data'!$A$2:$A$613,AA$3,'Income_Statement_Data'!$C$2:$C$613,"7000")</x:f>
        <x:v>-36450</x:v>
      </x:c>
      <x:c r="AB26" s="37" t="n">
        <x:f>SUMIFS('Income_Statement_Data'!$E$2:$E$613,'Income_Statement_Data'!$A$2:$A$613,AB$3,'Income_Statement_Data'!$C$2:$C$613,"7000")</x:f>
        <x:v>-36450</x:v>
      </x:c>
      <x:c r="AC26" s="37" t="n">
        <x:f>SUMIFS('Income_Statement_Data'!$E$2:$E$613,'Income_Statement_Data'!$A$2:$A$613,AC$3,'Income_Statement_Data'!$C$2:$C$613,"7000")</x:f>
        <x:v>-36000</x:v>
      </x:c>
      <x:c r="AD26" s="37" t="n">
        <x:f>SUMIFS('Income_Statement_Data'!$E$2:$E$613,'Income_Statement_Data'!$A$2:$A$613,AD$3,'Income_Statement_Data'!$C$2:$C$613,"7000")</x:f>
        <x:v>-36000</x:v>
      </x:c>
      <x:c r="AE26" s="37" t="n">
        <x:f>SUMIFS('Income_Statement_Data'!$E$2:$E$613,'Income_Statement_Data'!$A$2:$A$613,AE$3,'Income_Statement_Data'!$C$2:$C$613,"7000")</x:f>
        <x:v>-36000</x:v>
      </x:c>
      <x:c r="AF26" s="37" t="n">
        <x:f>SUMIFS('Income_Statement_Data'!$E$2:$E$613,'Income_Statement_Data'!$A$2:$A$613,AF$3,'Income_Statement_Data'!$C$2:$C$613,"7000")</x:f>
        <x:v>-36000</x:v>
      </x:c>
      <x:c r="AG26" s="37" t="n">
        <x:f>SUMIFS('Income_Statement_Data'!$E$2:$E$613,'Income_Statement_Data'!$A$2:$A$613,AG$3,'Income_Statement_Data'!$C$2:$C$613,"7000")</x:f>
        <x:v>-36000</x:v>
      </x:c>
      <x:c r="AH26" s="37" t="n">
        <x:f>SUMIFS('Income_Statement_Data'!$E$2:$E$613,'Income_Statement_Data'!$A$2:$A$613,AH$3,'Income_Statement_Data'!$C$2:$C$613,"7000")</x:f>
        <x:v>-36000</x:v>
      </x:c>
      <x:c r="AI26" s="37" t="n">
        <x:f>SUMIFS('Income_Statement_Data'!$E$2:$E$613,'Income_Statement_Data'!$A$2:$A$613,AI$3,'Income_Statement_Data'!$C$2:$C$613,"7000")</x:f>
        <x:v>-36000</x:v>
      </x:c>
      <x:c r="AJ26" s="37" t="n">
        <x:f>SUMIFS('Income_Statement_Data'!$E$2:$E$613,'Income_Statement_Data'!$A$2:$A$613,AJ$3,'Income_Statement_Data'!$C$2:$C$613,"7000")</x:f>
        <x:v>-36000</x:v>
      </x:c>
      <x:c r="AK26" s="37" t="n">
        <x:f>SUMIFS('Income_Statement_Data'!$E$2:$E$613,'Income_Statement_Data'!$A$2:$A$613,AK$3,'Income_Statement_Data'!$C$2:$C$613,"7000")</x:f>
        <x:v>-36000</x:v>
      </x:c>
    </x:row>
    <x:row r="27">
      <x:c r="A27" s="36" t="str">
        <x:v>Ingresos financieros</x:v>
      </x:c>
      <x:c r="B27" s="37" t="n">
        <x:f>SUMIFS('Income_Statement_Data'!$E$2:$E$613,'Income_Statement_Data'!$A$2:$A$613,B$3,'Income_Statement_Data'!$C$2:$C$613,"7100")</x:f>
        <x:v>2400</x:v>
      </x:c>
      <x:c r="C27" s="37" t="n">
        <x:f>SUMIFS('Income_Statement_Data'!$E$2:$E$613,'Income_Statement_Data'!$A$2:$A$613,C$3,'Income_Statement_Data'!$C$2:$C$613,"7100")</x:f>
        <x:v>2087</x:v>
      </x:c>
      <x:c r="D27" s="37" t="n">
        <x:f>SUMIFS('Income_Statement_Data'!$E$2:$E$613,'Income_Statement_Data'!$A$2:$A$613,D$3,'Income_Statement_Data'!$C$2:$C$613,"7100")</x:f>
        <x:v>1778</x:v>
      </x:c>
      <x:c r="E27" s="37" t="n">
        <x:f>SUMIFS('Income_Statement_Data'!$E$2:$E$613,'Income_Statement_Data'!$A$2:$A$613,E$3,'Income_Statement_Data'!$C$2:$C$613,"7100")</x:f>
        <x:v>1766</x:v>
      </x:c>
      <x:c r="F27" s="37" t="n">
        <x:f>SUMIFS('Income_Statement_Data'!$E$2:$E$613,'Income_Statement_Data'!$A$2:$A$613,F$3,'Income_Statement_Data'!$C$2:$C$613,"7100")</x:f>
        <x:v>1818</x:v>
      </x:c>
      <x:c r="G27" s="37" t="n">
        <x:f>SUMIFS('Income_Statement_Data'!$E$2:$E$613,'Income_Statement_Data'!$A$2:$A$613,G$3,'Income_Statement_Data'!$C$2:$C$613,"7100")</x:f>
        <x:v>1936</x:v>
      </x:c>
      <x:c r="H27" s="37" t="n">
        <x:f>SUMIFS('Income_Statement_Data'!$E$2:$E$613,'Income_Statement_Data'!$A$2:$A$613,H$3,'Income_Statement_Data'!$C$2:$C$613,"7100")</x:f>
        <x:v>1731</x:v>
      </x:c>
      <x:c r="I27" s="37" t="n">
        <x:f>SUMIFS('Income_Statement_Data'!$E$2:$E$613,'Income_Statement_Data'!$A$2:$A$613,I$3,'Income_Statement_Data'!$C$2:$C$613,"7100")</x:f>
        <x:v>2327</x:v>
      </x:c>
      <x:c r="J27" s="37" t="n">
        <x:f>SUMIFS('Income_Statement_Data'!$E$2:$E$613,'Income_Statement_Data'!$A$2:$A$613,J$3,'Income_Statement_Data'!$C$2:$C$613,"7100")</x:f>
        <x:v>2684</x:v>
      </x:c>
      <x:c r="K27" s="37" t="n">
        <x:f>SUMIFS('Income_Statement_Data'!$E$2:$E$613,'Income_Statement_Data'!$A$2:$A$613,K$3,'Income_Statement_Data'!$C$2:$C$613,"7100")</x:f>
        <x:v>2081</x:v>
      </x:c>
      <x:c r="L27" s="37" t="n">
        <x:f>SUMIFS('Income_Statement_Data'!$E$2:$E$613,'Income_Statement_Data'!$A$2:$A$613,L$3,'Income_Statement_Data'!$C$2:$C$613,"7100")</x:f>
        <x:v>2352</x:v>
      </x:c>
      <x:c r="M27" s="37" t="n">
        <x:f>SUMIFS('Income_Statement_Data'!$E$2:$E$613,'Income_Statement_Data'!$A$2:$A$613,M$3,'Income_Statement_Data'!$C$2:$C$613,"7100")</x:f>
        <x:v>2293</x:v>
      </x:c>
      <x:c r="N27" s="37" t="n">
        <x:f>SUMIFS('Income_Statement_Data'!$E$2:$E$613,'Income_Statement_Data'!$A$2:$A$613,N$3,'Income_Statement_Data'!$C$2:$C$613,"7100")</x:f>
        <x:v>2197</x:v>
      </x:c>
      <x:c r="O27" s="37" t="n">
        <x:f>SUMIFS('Income_Statement_Data'!$E$2:$E$613,'Income_Statement_Data'!$A$2:$A$613,O$3,'Income_Statement_Data'!$C$2:$C$613,"7100")</x:f>
        <x:v>3602</x:v>
      </x:c>
      <x:c r="P27" s="37" t="n">
        <x:f>SUMIFS('Income_Statement_Data'!$E$2:$E$613,'Income_Statement_Data'!$A$2:$A$613,P$3,'Income_Statement_Data'!$C$2:$C$613,"7100")</x:f>
        <x:v>3271</x:v>
      </x:c>
      <x:c r="Q27" s="37" t="n">
        <x:f>SUMIFS('Income_Statement_Data'!$E$2:$E$613,'Income_Statement_Data'!$A$2:$A$613,Q$3,'Income_Statement_Data'!$C$2:$C$613,"7100")</x:f>
        <x:v>3540</x:v>
      </x:c>
      <x:c r="R27" s="37" t="n">
        <x:f>SUMIFS('Income_Statement_Data'!$E$2:$E$613,'Income_Statement_Data'!$A$2:$A$613,R$3,'Income_Statement_Data'!$C$2:$C$613,"7100")</x:f>
        <x:v>1923</x:v>
      </x:c>
      <x:c r="S27" s="37" t="n">
        <x:f>SUMIFS('Income_Statement_Data'!$E$2:$E$613,'Income_Statement_Data'!$A$2:$A$613,S$3,'Income_Statement_Data'!$C$2:$C$613,"7100")</x:f>
        <x:v>2928</x:v>
      </x:c>
      <x:c r="T27" s="37" t="n">
        <x:f>SUMIFS('Income_Statement_Data'!$E$2:$E$613,'Income_Statement_Data'!$A$2:$A$613,T$3,'Income_Statement_Data'!$C$2:$C$613,"7100")</x:f>
        <x:v>2621</x:v>
      </x:c>
      <x:c r="U27" s="37" t="n">
        <x:f>SUMIFS('Income_Statement_Data'!$E$2:$E$613,'Income_Statement_Data'!$A$2:$A$613,U$3,'Income_Statement_Data'!$C$2:$C$613,"7100")</x:f>
        <x:v>3017</x:v>
      </x:c>
      <x:c r="V27" s="37" t="n">
        <x:f>SUMIFS('Income_Statement_Data'!$E$2:$E$613,'Income_Statement_Data'!$A$2:$A$613,V$3,'Income_Statement_Data'!$C$2:$C$613,"7100")</x:f>
        <x:v>3479</x:v>
      </x:c>
      <x:c r="W27" s="37" t="n">
        <x:f>SUMIFS('Income_Statement_Data'!$E$2:$E$613,'Income_Statement_Data'!$A$2:$A$613,W$3,'Income_Statement_Data'!$C$2:$C$613,"7100")</x:f>
        <x:v>4850</x:v>
      </x:c>
      <x:c r="X27" s="37" t="n">
        <x:f>SUMIFS('Income_Statement_Data'!$E$2:$E$613,'Income_Statement_Data'!$A$2:$A$613,X$3,'Income_Statement_Data'!$C$2:$C$613,"7100")</x:f>
        <x:v>5014</x:v>
      </x:c>
      <x:c r="Y27" s="37" t="n">
        <x:f>SUMIFS('Income_Statement_Data'!$E$2:$E$613,'Income_Statement_Data'!$A$2:$A$613,Y$3,'Income_Statement_Data'!$C$2:$C$613,"7100")</x:f>
        <x:v>4806</x:v>
      </x:c>
      <x:c r="Z27" s="37" t="n">
        <x:f>SUMIFS('Income_Statement_Data'!$E$2:$E$613,'Income_Statement_Data'!$A$2:$A$613,Z$3,'Income_Statement_Data'!$C$2:$C$613,"7100")</x:f>
        <x:v>4496</x:v>
      </x:c>
      <x:c r="AA27" s="37" t="n">
        <x:f>SUMIFS('Income_Statement_Data'!$E$2:$E$613,'Income_Statement_Data'!$A$2:$A$613,AA$3,'Income_Statement_Data'!$C$2:$C$613,"7100")</x:f>
        <x:v>5860</x:v>
      </x:c>
      <x:c r="AB27" s="37" t="n">
        <x:f>SUMIFS('Income_Statement_Data'!$E$2:$E$613,'Income_Statement_Data'!$A$2:$A$613,AB$3,'Income_Statement_Data'!$C$2:$C$613,"7100")</x:f>
        <x:v>5303</x:v>
      </x:c>
      <x:c r="AC27" s="37" t="n">
        <x:f>SUMIFS('Income_Statement_Data'!$E$2:$E$613,'Income_Statement_Data'!$A$2:$A$613,AC$3,'Income_Statement_Data'!$C$2:$C$613,"7100")</x:f>
        <x:v>6086</x:v>
      </x:c>
      <x:c r="AD27" s="37" t="n">
        <x:f>SUMIFS('Income_Statement_Data'!$E$2:$E$613,'Income_Statement_Data'!$A$2:$A$613,AD$3,'Income_Statement_Data'!$C$2:$C$613,"7100")</x:f>
        <x:v>6171</x:v>
      </x:c>
      <x:c r="AE27" s="37" t="n">
        <x:f>SUMIFS('Income_Statement_Data'!$E$2:$E$613,'Income_Statement_Data'!$A$2:$A$613,AE$3,'Income_Statement_Data'!$C$2:$C$613,"7100")</x:f>
        <x:v>6331</x:v>
      </x:c>
      <x:c r="AF27" s="37" t="n">
        <x:f>SUMIFS('Income_Statement_Data'!$E$2:$E$613,'Income_Statement_Data'!$A$2:$A$613,AF$3,'Income_Statement_Data'!$C$2:$C$613,"7100")</x:f>
        <x:v>6168</x:v>
      </x:c>
      <x:c r="AG27" s="37" t="n">
        <x:f>SUMIFS('Income_Statement_Data'!$E$2:$E$613,'Income_Statement_Data'!$A$2:$A$613,AG$3,'Income_Statement_Data'!$C$2:$C$613,"7100")</x:f>
        <x:v>6845</x:v>
      </x:c>
      <x:c r="AH27" s="37" t="n">
        <x:f>SUMIFS('Income_Statement_Data'!$E$2:$E$613,'Income_Statement_Data'!$A$2:$A$613,AH$3,'Income_Statement_Data'!$C$2:$C$613,"7100")</x:f>
        <x:v>7285</x:v>
      </x:c>
      <x:c r="AI27" s="37" t="n">
        <x:f>SUMIFS('Income_Statement_Data'!$E$2:$E$613,'Income_Statement_Data'!$A$2:$A$613,AI$3,'Income_Statement_Data'!$C$2:$C$613,"7100")</x:f>
        <x:v>6306</x:v>
      </x:c>
      <x:c r="AJ27" s="37" t="n">
        <x:f>SUMIFS('Income_Statement_Data'!$E$2:$E$613,'Income_Statement_Data'!$A$2:$A$613,AJ$3,'Income_Statement_Data'!$C$2:$C$613,"7100")</x:f>
        <x:v>6678</x:v>
      </x:c>
      <x:c r="AK27" s="37" t="n">
        <x:f>SUMIFS('Income_Statement_Data'!$E$2:$E$613,'Income_Statement_Data'!$A$2:$A$613,AK$3,'Income_Statement_Data'!$C$2:$C$613,"7100")</x:f>
        <x:v>6701</x:v>
      </x:c>
    </x:row>
    <x:row r="28">
      <x:c r="A28" s="38" t="str">
        <x:v>Resultado antes de impuestos</x:v>
      </x:c>
      <x:c r="B28" s="39" t="n">
        <x:f>SUM(B25:B27)</x:f>
        <x:v>285710</x:v>
      </x:c>
      <x:c r="C28" s="39" t="n">
        <x:f>SUM(C25:C27)</x:f>
        <x:v>300361</x:v>
      </x:c>
      <x:c r="D28" s="39" t="n">
        <x:f>SUM(D25:D27)</x:f>
        <x:v>335647</x:v>
      </x:c>
      <x:c r="E28" s="39" t="n">
        <x:f>SUM(E25:E27)</x:f>
        <x:v>326498</x:v>
      </x:c>
      <x:c r="F28" s="39" t="n">
        <x:f>SUM(F25:F27)</x:f>
        <x:v>348159</x:v>
      </x:c>
      <x:c r="G28" s="39" t="n">
        <x:f>SUM(G25:G27)</x:f>
        <x:v>360147</x:v>
      </x:c>
      <x:c r="H28" s="39" t="n">
        <x:f>SUM(H25:H27)</x:f>
        <x:v>325387</x:v>
      </x:c>
      <x:c r="I28" s="39" t="n">
        <x:f>SUM(I25:I27)</x:f>
        <x:v>301318</x:v>
      </x:c>
      <x:c r="J28" s="39" t="n">
        <x:f>SUM(J25:J27)</x:f>
        <x:v>371611</x:v>
      </x:c>
      <x:c r="K28" s="39" t="n">
        <x:f>SUM(K25:K27)</x:f>
        <x:v>388674</x:v>
      </x:c>
      <x:c r="L28" s="39" t="n">
        <x:f>SUM(L25:L27)</x:f>
        <x:v>411986</x:v>
      </x:c>
      <x:c r="M28" s="39" t="n">
        <x:f>SUM(M25:M27)</x:f>
        <x:v>456577</x:v>
      </x:c>
      <x:c r="N28" s="39" t="n">
        <x:f>SUM(N25:N27)</x:f>
        <x:v>294577</x:v>
      </x:c>
      <x:c r="O28" s="39" t="n">
        <x:f>SUM(O25:O27)</x:f>
        <x:v>312306</x:v>
      </x:c>
      <x:c r="P28" s="39" t="n">
        <x:f>SUM(P25:P27)</x:f>
        <x:v>350102</x:v>
      </x:c>
      <x:c r="Q28" s="39" t="n">
        <x:f>SUM(Q25:Q27)</x:f>
        <x:v>253915</x:v>
      </x:c>
      <x:c r="R28" s="39" t="n">
        <x:f>SUM(R25:R27)</x:f>
        <x:v>269662</x:v>
      </x:c>
      <x:c r="S28" s="39" t="n">
        <x:f>SUM(S25:S27)</x:f>
        <x:v>196381</x:v>
      </x:c>
      <x:c r="T28" s="39" t="n">
        <x:f>SUM(T25:T27)</x:f>
        <x:v>271165</x:v>
      </x:c>
      <x:c r="U28" s="39" t="n">
        <x:f>SUM(U25:U27)</x:f>
        <x:v>298251</x:v>
      </x:c>
      <x:c r="V28" s="39" t="n">
        <x:f>SUM(V25:V27)</x:f>
        <x:v>399967</x:v>
      </x:c>
      <x:c r="W28" s="39" t="n">
        <x:f>SUM(W25:W27)</x:f>
        <x:v>387483</x:v>
      </x:c>
      <x:c r="X28" s="39" t="n">
        <x:f>SUM(X25:X27)</x:f>
        <x:v>409164</x:v>
      </x:c>
      <x:c r="Y28" s="39" t="n">
        <x:f>SUM(Y25:Y27)</x:f>
        <x:v>453543</x:v>
      </x:c>
      <x:c r="Z28" s="39" t="n">
        <x:f>SUM(Z25:Z27)</x:f>
        <x:v>271519</x:v>
      </x:c>
      <x:c r="AA28" s="39" t="n">
        <x:f>SUM(AA25:AA27)</x:f>
        <x:v>289122</x:v>
      </x:c>
      <x:c r="AB28" s="39" t="n">
        <x:f>SUM(AB25:AB27)</x:f>
        <x:v>347360</x:v>
      </x:c>
      <x:c r="AC28" s="39" t="n">
        <x:f>SUM(AC25:AC27)</x:f>
        <x:v>378686</x:v>
      </x:c>
      <x:c r="AD28" s="39" t="n">
        <x:f>SUM(AD25:AD27)</x:f>
        <x:v>405212</x:v>
      </x:c>
      <x:c r="AE28" s="39" t="n">
        <x:f>SUM(AE25:AE27)</x:f>
        <x:v>419831</x:v>
      </x:c>
      <x:c r="AF28" s="39" t="n">
        <x:f>SUM(AF25:AF27)</x:f>
        <x:v>377115</x:v>
      </x:c>
      <x:c r="AG28" s="39" t="n">
        <x:f>SUM(AG25:AG27)</x:f>
        <x:v>347590</x:v>
      </x:c>
      <x:c r="AH28" s="39" t="n">
        <x:f>SUM(AH25:AH27)</x:f>
        <x:v>434137</x:v>
      </x:c>
      <x:c r="AI28" s="39" t="n">
        <x:f>SUM(AI25:AI27)</x:f>
        <x:v>455157</x:v>
      </x:c>
      <x:c r="AJ28" s="39" t="n">
        <x:f>SUM(AJ25:AJ27)</x:f>
        <x:v>484242</x:v>
      </x:c>
      <x:c r="AK28" s="39" t="n">
        <x:f>SUM(AK25:AK27)</x:f>
        <x:v>539588</x:v>
      </x:c>
    </x:row>
    <x:row r="29">
      <x:c r="A29" s="36" t="str">
        <x:v>Impuesto sobre beneficios</x:v>
      </x:c>
      <x:c r="B29" s="37" t="n">
        <x:f>SUMIFS('Income_Statement_Data'!$E$2:$E$613,'Income_Statement_Data'!$A$2:$A$613,B$3,'Income_Statement_Data'!$C$2:$C$613,"8000")</x:f>
        <x:v>-71428</x:v>
      </x:c>
      <x:c r="C29" s="37" t="n">
        <x:f>SUMIFS('Income_Statement_Data'!$E$2:$E$613,'Income_Statement_Data'!$A$2:$A$613,C$3,'Income_Statement_Data'!$C$2:$C$613,"8000")</x:f>
        <x:v>-75090</x:v>
      </x:c>
      <x:c r="D29" s="37" t="n">
        <x:f>SUMIFS('Income_Statement_Data'!$E$2:$E$613,'Income_Statement_Data'!$A$2:$A$613,D$3,'Income_Statement_Data'!$C$2:$C$613,"8000")</x:f>
        <x:v>-83912</x:v>
      </x:c>
      <x:c r="E29" s="37" t="n">
        <x:f>SUMIFS('Income_Statement_Data'!$E$2:$E$613,'Income_Statement_Data'!$A$2:$A$613,E$3,'Income_Statement_Data'!$C$2:$C$613,"8000")</x:f>
        <x:v>-81625</x:v>
      </x:c>
      <x:c r="F29" s="37" t="n">
        <x:f>SUMIFS('Income_Statement_Data'!$E$2:$E$613,'Income_Statement_Data'!$A$2:$A$613,F$3,'Income_Statement_Data'!$C$2:$C$613,"8000")</x:f>
        <x:v>-87040</x:v>
      </x:c>
      <x:c r="G29" s="37" t="n">
        <x:f>SUMIFS('Income_Statement_Data'!$E$2:$E$613,'Income_Statement_Data'!$A$2:$A$613,G$3,'Income_Statement_Data'!$C$2:$C$613,"8000")</x:f>
        <x:v>-90037</x:v>
      </x:c>
      <x:c r="H29" s="37" t="n">
        <x:f>SUMIFS('Income_Statement_Data'!$E$2:$E$613,'Income_Statement_Data'!$A$2:$A$613,H$3,'Income_Statement_Data'!$C$2:$C$613,"8000")</x:f>
        <x:v>-81347</x:v>
      </x:c>
      <x:c r="I29" s="37" t="n">
        <x:f>SUMIFS('Income_Statement_Data'!$E$2:$E$613,'Income_Statement_Data'!$A$2:$A$613,I$3,'Income_Statement_Data'!$C$2:$C$613,"8000")</x:f>
        <x:v>-75330</x:v>
      </x:c>
      <x:c r="J29" s="37" t="n">
        <x:f>SUMIFS('Income_Statement_Data'!$E$2:$E$613,'Income_Statement_Data'!$A$2:$A$613,J$3,'Income_Statement_Data'!$C$2:$C$613,"8000")</x:f>
        <x:v>-92903</x:v>
      </x:c>
      <x:c r="K29" s="37" t="n">
        <x:f>SUMIFS('Income_Statement_Data'!$E$2:$E$613,'Income_Statement_Data'!$A$2:$A$613,K$3,'Income_Statement_Data'!$C$2:$C$613,"8000")</x:f>
        <x:v>-97169</x:v>
      </x:c>
      <x:c r="L29" s="37" t="n">
        <x:f>SUMIFS('Income_Statement_Data'!$E$2:$E$613,'Income_Statement_Data'!$A$2:$A$613,L$3,'Income_Statement_Data'!$C$2:$C$613,"8000")</x:f>
        <x:v>-102997</x:v>
      </x:c>
      <x:c r="M29" s="37" t="n">
        <x:f>SUMIFS('Income_Statement_Data'!$E$2:$E$613,'Income_Statement_Data'!$A$2:$A$613,M$3,'Income_Statement_Data'!$C$2:$C$613,"8000")</x:f>
        <x:v>-114144</x:v>
      </x:c>
      <x:c r="N29" s="37" t="n">
        <x:f>SUMIFS('Income_Statement_Data'!$E$2:$E$613,'Income_Statement_Data'!$A$2:$A$613,N$3,'Income_Statement_Data'!$C$2:$C$613,"8000")</x:f>
        <x:v>-73644</x:v>
      </x:c>
      <x:c r="O29" s="37" t="n">
        <x:f>SUMIFS('Income_Statement_Data'!$E$2:$E$613,'Income_Statement_Data'!$A$2:$A$613,O$3,'Income_Statement_Data'!$C$2:$C$613,"8000")</x:f>
        <x:v>-78077</x:v>
      </x:c>
      <x:c r="P29" s="37" t="n">
        <x:f>SUMIFS('Income_Statement_Data'!$E$2:$E$613,'Income_Statement_Data'!$A$2:$A$613,P$3,'Income_Statement_Data'!$C$2:$C$613,"8000")</x:f>
        <x:v>-87526</x:v>
      </x:c>
      <x:c r="Q29" s="37" t="n">
        <x:f>SUMIFS('Income_Statement_Data'!$E$2:$E$613,'Income_Statement_Data'!$A$2:$A$613,Q$3,'Income_Statement_Data'!$C$2:$C$613,"8000")</x:f>
        <x:v>-63479</x:v>
      </x:c>
      <x:c r="R29" s="37" t="n">
        <x:f>SUMIFS('Income_Statement_Data'!$E$2:$E$613,'Income_Statement_Data'!$A$2:$A$613,R$3,'Income_Statement_Data'!$C$2:$C$613,"8000")</x:f>
        <x:v>-67416</x:v>
      </x:c>
      <x:c r="S29" s="37" t="n">
        <x:f>SUMIFS('Income_Statement_Data'!$E$2:$E$613,'Income_Statement_Data'!$A$2:$A$613,S$3,'Income_Statement_Data'!$C$2:$C$613,"8000")</x:f>
        <x:v>-49095</x:v>
      </x:c>
      <x:c r="T29" s="37" t="n">
        <x:f>SUMIFS('Income_Statement_Data'!$E$2:$E$613,'Income_Statement_Data'!$A$2:$A$613,T$3,'Income_Statement_Data'!$C$2:$C$613,"8000")</x:f>
        <x:v>-67791</x:v>
      </x:c>
      <x:c r="U29" s="37" t="n">
        <x:f>SUMIFS('Income_Statement_Data'!$E$2:$E$613,'Income_Statement_Data'!$A$2:$A$613,U$3,'Income_Statement_Data'!$C$2:$C$613,"8000")</x:f>
        <x:v>-74563</x:v>
      </x:c>
      <x:c r="V29" s="37" t="n">
        <x:f>SUMIFS('Income_Statement_Data'!$E$2:$E$613,'Income_Statement_Data'!$A$2:$A$613,V$3,'Income_Statement_Data'!$C$2:$C$613,"8000")</x:f>
        <x:v>-99992</x:v>
      </x:c>
      <x:c r="W29" s="37" t="n">
        <x:f>SUMIFS('Income_Statement_Data'!$E$2:$E$613,'Income_Statement_Data'!$A$2:$A$613,W$3,'Income_Statement_Data'!$C$2:$C$613,"8000")</x:f>
        <x:v>-96871</x:v>
      </x:c>
      <x:c r="X29" s="37" t="n">
        <x:f>SUMIFS('Income_Statement_Data'!$E$2:$E$613,'Income_Statement_Data'!$A$2:$A$613,X$3,'Income_Statement_Data'!$C$2:$C$613,"8000")</x:f>
        <x:v>-102291</x:v>
      </x:c>
      <x:c r="Y29" s="37" t="n">
        <x:f>SUMIFS('Income_Statement_Data'!$E$2:$E$613,'Income_Statement_Data'!$A$2:$A$613,Y$3,'Income_Statement_Data'!$C$2:$C$613,"8000")</x:f>
        <x:v>-113386</x:v>
      </x:c>
      <x:c r="Z29" s="37" t="n">
        <x:f>SUMIFS('Income_Statement_Data'!$E$2:$E$613,'Income_Statement_Data'!$A$2:$A$613,Z$3,'Income_Statement_Data'!$C$2:$C$613,"8000")</x:f>
        <x:v>-67880</x:v>
      </x:c>
      <x:c r="AA29" s="37" t="n">
        <x:f>SUMIFS('Income_Statement_Data'!$E$2:$E$613,'Income_Statement_Data'!$A$2:$A$613,AA$3,'Income_Statement_Data'!$C$2:$C$613,"8000")</x:f>
        <x:v>-72281</x:v>
      </x:c>
      <x:c r="AB29" s="37" t="n">
        <x:f>SUMIFS('Income_Statement_Data'!$E$2:$E$613,'Income_Statement_Data'!$A$2:$A$613,AB$3,'Income_Statement_Data'!$C$2:$C$613,"8000")</x:f>
        <x:v>-86840</x:v>
      </x:c>
      <x:c r="AC29" s="37" t="n">
        <x:f>SUMIFS('Income_Statement_Data'!$E$2:$E$613,'Income_Statement_Data'!$A$2:$A$613,AC$3,'Income_Statement_Data'!$C$2:$C$613,"8000")</x:f>
        <x:v>-94672</x:v>
      </x:c>
      <x:c r="AD29" s="37" t="n">
        <x:f>SUMIFS('Income_Statement_Data'!$E$2:$E$613,'Income_Statement_Data'!$A$2:$A$613,AD$3,'Income_Statement_Data'!$C$2:$C$613,"8000")</x:f>
        <x:v>-101303</x:v>
      </x:c>
      <x:c r="AE29" s="37" t="n">
        <x:f>SUMIFS('Income_Statement_Data'!$E$2:$E$613,'Income_Statement_Data'!$A$2:$A$613,AE$3,'Income_Statement_Data'!$C$2:$C$613,"8000")</x:f>
        <x:v>-104958</x:v>
      </x:c>
      <x:c r="AF29" s="37" t="n">
        <x:f>SUMIFS('Income_Statement_Data'!$E$2:$E$613,'Income_Statement_Data'!$A$2:$A$613,AF$3,'Income_Statement_Data'!$C$2:$C$613,"8000")</x:f>
        <x:v>-94279</x:v>
      </x:c>
      <x:c r="AG29" s="37" t="n">
        <x:f>SUMIFS('Income_Statement_Data'!$E$2:$E$613,'Income_Statement_Data'!$A$2:$A$613,AG$3,'Income_Statement_Data'!$C$2:$C$613,"8000")</x:f>
        <x:v>-86898</x:v>
      </x:c>
      <x:c r="AH29" s="37" t="n">
        <x:f>SUMIFS('Income_Statement_Data'!$E$2:$E$613,'Income_Statement_Data'!$A$2:$A$613,AH$3,'Income_Statement_Data'!$C$2:$C$613,"8000")</x:f>
        <x:v>-108534</x:v>
      </x:c>
      <x:c r="AI29" s="37" t="n">
        <x:f>SUMIFS('Income_Statement_Data'!$E$2:$E$613,'Income_Statement_Data'!$A$2:$A$613,AI$3,'Income_Statement_Data'!$C$2:$C$613,"8000")</x:f>
        <x:v>-113789</x:v>
      </x:c>
      <x:c r="AJ29" s="37" t="n">
        <x:f>SUMIFS('Income_Statement_Data'!$E$2:$E$613,'Income_Statement_Data'!$A$2:$A$613,AJ$3,'Income_Statement_Data'!$C$2:$C$613,"8000")</x:f>
        <x:v>-121061</x:v>
      </x:c>
      <x:c r="AK29" s="37" t="n">
        <x:f>SUMIFS('Income_Statement_Data'!$E$2:$E$613,'Income_Statement_Data'!$A$2:$A$613,AK$3,'Income_Statement_Data'!$C$2:$C$613,"8000")</x:f>
        <x:v>-134897</x:v>
      </x:c>
    </x:row>
    <x:row r="30">
      <x:c r="A30" s="38" t="str">
        <x:v>Resultado neto</x:v>
      </x:c>
      <x:c r="B30" s="39" t="n">
        <x:f>B28+B29</x:f>
        <x:v>214282</x:v>
      </x:c>
      <x:c r="C30" s="39" t="n">
        <x:f>C28+C29</x:f>
        <x:v>225271</x:v>
      </x:c>
      <x:c r="D30" s="39" t="n">
        <x:f>D28+D29</x:f>
        <x:v>251735</x:v>
      </x:c>
      <x:c r="E30" s="39" t="n">
        <x:f>E28+E29</x:f>
        <x:v>244873</x:v>
      </x:c>
      <x:c r="F30" s="39" t="n">
        <x:f>F28+F29</x:f>
        <x:v>261119</x:v>
      </x:c>
      <x:c r="G30" s="39" t="n">
        <x:f>G28+G29</x:f>
        <x:v>270110</x:v>
      </x:c>
      <x:c r="H30" s="39" t="n">
        <x:f>H28+H29</x:f>
        <x:v>244040</x:v>
      </x:c>
      <x:c r="I30" s="39" t="n">
        <x:f>I28+I29</x:f>
        <x:v>225988</x:v>
      </x:c>
      <x:c r="J30" s="39" t="n">
        <x:f>J28+J29</x:f>
        <x:v>278708</x:v>
      </x:c>
      <x:c r="K30" s="39" t="n">
        <x:f>K28+K29</x:f>
        <x:v>291505</x:v>
      </x:c>
      <x:c r="L30" s="39" t="n">
        <x:f>L28+L29</x:f>
        <x:v>308989</x:v>
      </x:c>
      <x:c r="M30" s="39" t="n">
        <x:f>M28+M29</x:f>
        <x:v>342433</x:v>
      </x:c>
      <x:c r="N30" s="39" t="n">
        <x:f>N28+N29</x:f>
        <x:v>220933</x:v>
      </x:c>
      <x:c r="O30" s="39" t="n">
        <x:f>O28+O29</x:f>
        <x:v>234229</x:v>
      </x:c>
      <x:c r="P30" s="39" t="n">
        <x:f>P28+P29</x:f>
        <x:v>262576</x:v>
      </x:c>
      <x:c r="Q30" s="39" t="n">
        <x:f>Q28+Q29</x:f>
        <x:v>190436</x:v>
      </x:c>
      <x:c r="R30" s="39" t="n">
        <x:f>R28+R29</x:f>
        <x:v>202246</x:v>
      </x:c>
      <x:c r="S30" s="39" t="n">
        <x:f>S28+S29</x:f>
        <x:v>147286</x:v>
      </x:c>
      <x:c r="T30" s="39" t="n">
        <x:f>T28+T29</x:f>
        <x:v>203374</x:v>
      </x:c>
      <x:c r="U30" s="39" t="n">
        <x:f>U28+U29</x:f>
        <x:v>223688</x:v>
      </x:c>
      <x:c r="V30" s="39" t="n">
        <x:f>V28+V29</x:f>
        <x:v>299975</x:v>
      </x:c>
      <x:c r="W30" s="39" t="n">
        <x:f>W28+W29</x:f>
        <x:v>290612</x:v>
      </x:c>
      <x:c r="X30" s="39" t="n">
        <x:f>X28+X29</x:f>
        <x:v>306873</x:v>
      </x:c>
      <x:c r="Y30" s="39" t="n">
        <x:f>Y28+Y29</x:f>
        <x:v>340157</x:v>
      </x:c>
      <x:c r="Z30" s="39" t="n">
        <x:f>Z28+Z29</x:f>
        <x:v>203639</x:v>
      </x:c>
      <x:c r="AA30" s="39" t="n">
        <x:f>AA28+AA29</x:f>
        <x:v>216841</x:v>
      </x:c>
      <x:c r="AB30" s="39" t="n">
        <x:f>AB28+AB29</x:f>
        <x:v>260520</x:v>
      </x:c>
      <x:c r="AC30" s="39" t="n">
        <x:f>AC28+AC29</x:f>
        <x:v>284014</x:v>
      </x:c>
      <x:c r="AD30" s="39" t="n">
        <x:f>AD28+AD29</x:f>
        <x:v>303909</x:v>
      </x:c>
      <x:c r="AE30" s="39" t="n">
        <x:f>AE28+AE29</x:f>
        <x:v>314873</x:v>
      </x:c>
      <x:c r="AF30" s="39" t="n">
        <x:f>AF28+AF29</x:f>
        <x:v>282836</x:v>
      </x:c>
      <x:c r="AG30" s="39" t="n">
        <x:f>AG28+AG29</x:f>
        <x:v>260692</x:v>
      </x:c>
      <x:c r="AH30" s="39" t="n">
        <x:f>AH28+AH29</x:f>
        <x:v>325603</x:v>
      </x:c>
      <x:c r="AI30" s="39" t="n">
        <x:f>AI28+AI29</x:f>
        <x:v>341368</x:v>
      </x:c>
      <x:c r="AJ30" s="39" t="n">
        <x:f>AJ28+AJ29</x:f>
        <x:v>363181</x:v>
      </x:c>
      <x:c r="AK30" s="39" t="n">
        <x:f>AK28+AK29</x:f>
        <x:v>404691</x:v>
      </x:c>
    </x:row>
    <x:row r="31">
      <x:c r="A31" s="36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  <x:c r="M31" s="37"/>
      <x:c r="N31" s="37"/>
      <x:c r="O31" s="37"/>
      <x:c r="P31" s="37"/>
      <x:c r="Q31" s="37"/>
      <x:c r="R31" s="37"/>
      <x:c r="S31" s="37"/>
      <x:c r="T31" s="37"/>
      <x:c r="U31" s="37"/>
      <x:c r="V31" s="37"/>
      <x:c r="W31" s="37"/>
      <x:c r="X31" s="37"/>
      <x:c r="Y31" s="37"/>
      <x:c r="Z31" s="37"/>
      <x:c r="AA31" s="37"/>
      <x:c r="AB31" s="37"/>
      <x:c r="AC31" s="37"/>
      <x:c r="AD31" s="37"/>
      <x:c r="AE31" s="37"/>
      <x:c r="AF31" s="37"/>
      <x:c r="AG31" s="37"/>
      <x:c r="AH31" s="37"/>
      <x:c r="AI31" s="37"/>
      <x:c r="AJ31" s="37"/>
      <x:c r="AK31" s="37"/>
    </x:row>
    <x:row r="32">
      <x:c r="A32" s="35" t="str">
        <x:v>BALANCE DE SITUACIÓN</x:v>
      </x:c>
      <x:c r="B32" s="41"/>
      <x:c r="C32" s="41"/>
      <x:c r="D32" s="41"/>
      <x:c r="E32" s="41"/>
      <x:c r="F32" s="41"/>
      <x:c r="G32" s="41"/>
      <x:c r="H32" s="41"/>
      <x:c r="I32" s="41"/>
      <x:c r="J32" s="41"/>
      <x:c r="K32" s="41"/>
      <x:c r="L32" s="41"/>
      <x:c r="M32" s="41"/>
      <x:c r="N32" s="41"/>
      <x:c r="O32" s="41"/>
      <x:c r="P32" s="41"/>
      <x:c r="Q32" s="41"/>
      <x:c r="R32" s="41"/>
      <x:c r="S32" s="41"/>
      <x:c r="T32" s="41"/>
      <x:c r="U32" s="41"/>
      <x:c r="V32" s="41"/>
      <x:c r="W32" s="41"/>
      <x:c r="X32" s="41"/>
      <x:c r="Y32" s="41"/>
      <x:c r="Z32" s="41"/>
      <x:c r="AA32" s="41"/>
      <x:c r="AB32" s="41"/>
      <x:c r="AC32" s="41"/>
      <x:c r="AD32" s="41"/>
      <x:c r="AE32" s="41"/>
      <x:c r="AF32" s="41"/>
      <x:c r="AG32" s="41"/>
      <x:c r="AH32" s="41"/>
      <x:c r="AI32" s="41"/>
      <x:c r="AJ32" s="41"/>
      <x:c r="AK32" s="41"/>
    </x:row>
    <x:row r="33">
      <x:c r="A33" s="36" t="str">
        <x:v>Efectivo y equivalentes</x:v>
      </x:c>
      <x:c r="B33" s="37" t="n">
        <x:f>SUMIFS('Balance_Sheet_Data'!$E$2:$E$630,'Balance_Sheet_Data'!$A$2:$A$630,B$3,'Balance_Sheet_Data'!$C$2:$C$630,"1000")</x:f>
        <x:v>2608543</x:v>
      </x:c>
      <x:c r="C33" s="37" t="n">
        <x:f>SUMIFS('Balance_Sheet_Data'!$E$2:$E$630,'Balance_Sheet_Data'!$A$2:$A$630,C$3,'Balance_Sheet_Data'!$C$2:$C$630,"1000")</x:f>
        <x:v>2222245</x:v>
      </x:c>
      <x:c r="D33" s="37" t="n">
        <x:f>SUMIFS('Balance_Sheet_Data'!$E$2:$E$630,'Balance_Sheet_Data'!$A$2:$A$630,D$3,'Balance_Sheet_Data'!$C$2:$C$630,"1000")</x:f>
        <x:v>2207765</x:v>
      </x:c>
      <x:c r="E33" s="37" t="n">
        <x:f>SUMIFS('Balance_Sheet_Data'!$E$2:$E$630,'Balance_Sheet_Data'!$A$2:$A$630,E$3,'Balance_Sheet_Data'!$C$2:$C$630,"1000")</x:f>
        <x:v>2272379</x:v>
      </x:c>
      <x:c r="F33" s="37" t="n">
        <x:f>SUMIFS('Balance_Sheet_Data'!$E$2:$E$630,'Balance_Sheet_Data'!$A$2:$A$630,F$3,'Balance_Sheet_Data'!$C$2:$C$630,"1000")</x:f>
        <x:v>2420624</x:v>
      </x:c>
      <x:c r="G33" s="37" t="n">
        <x:f>SUMIFS('Balance_Sheet_Data'!$E$2:$E$630,'Balance_Sheet_Data'!$A$2:$A$630,G$3,'Balance_Sheet_Data'!$C$2:$C$630,"1000")</x:f>
        <x:v>2164232</x:v>
      </x:c>
      <x:c r="H33" s="37" t="n">
        <x:f>SUMIFS('Balance_Sheet_Data'!$E$2:$E$630,'Balance_Sheet_Data'!$A$2:$A$630,H$3,'Balance_Sheet_Data'!$C$2:$C$630,"1000")</x:f>
        <x:v>2908304</x:v>
      </x:c>
      <x:c r="I33" s="37" t="n">
        <x:f>SUMIFS('Balance_Sheet_Data'!$E$2:$E$630,'Balance_Sheet_Data'!$A$2:$A$630,I$3,'Balance_Sheet_Data'!$C$2:$C$630,"1000")</x:f>
        <x:v>3355381</x:v>
      </x:c>
      <x:c r="J33" s="37" t="n">
        <x:f>SUMIFS('Balance_Sheet_Data'!$E$2:$E$630,'Balance_Sheet_Data'!$A$2:$A$630,J$3,'Balance_Sheet_Data'!$C$2:$C$630,"1000")</x:f>
        <x:v>2601357</x:v>
      </x:c>
      <x:c r="K33" s="37" t="n">
        <x:f>SUMIFS('Balance_Sheet_Data'!$E$2:$E$630,'Balance_Sheet_Data'!$A$2:$A$630,K$3,'Balance_Sheet_Data'!$C$2:$C$630,"1000")</x:f>
        <x:v>2940355</x:v>
      </x:c>
      <x:c r="L33" s="37" t="n">
        <x:f>SUMIFS('Balance_Sheet_Data'!$E$2:$E$630,'Balance_Sheet_Data'!$A$2:$A$630,L$3,'Balance_Sheet_Data'!$C$2:$C$630,"1000")</x:f>
        <x:v>2865716</x:v>
      </x:c>
      <x:c r="M33" s="37" t="n">
        <x:f>SUMIFS('Balance_Sheet_Data'!$E$2:$E$630,'Balance_Sheet_Data'!$A$2:$A$630,M$3,'Balance_Sheet_Data'!$C$2:$C$630,"1000")</x:f>
        <x:v>2746000</x:v>
      </x:c>
      <x:c r="N33" s="37" t="n">
        <x:f>SUMIFS('Balance_Sheet_Data'!$E$2:$E$630,'Balance_Sheet_Data'!$A$2:$A$630,N$3,'Balance_Sheet_Data'!$C$2:$C$630,"1000")</x:f>
        <x:v>4501921</x:v>
      </x:c>
      <x:c r="O33" s="37" t="n">
        <x:f>SUMIFS('Balance_Sheet_Data'!$E$2:$E$630,'Balance_Sheet_Data'!$A$2:$A$630,O$3,'Balance_Sheet_Data'!$C$2:$C$630,"1000")</x:f>
        <x:v>4089159</x:v>
      </x:c>
      <x:c r="P33" s="37" t="n">
        <x:f>SUMIFS('Balance_Sheet_Data'!$E$2:$E$630,'Balance_Sheet_Data'!$A$2:$A$630,P$3,'Balance_Sheet_Data'!$C$2:$C$630,"1000")</x:f>
        <x:v>4424450</x:v>
      </x:c>
      <x:c r="Q33" s="37" t="n">
        <x:f>SUMIFS('Balance_Sheet_Data'!$E$2:$E$630,'Balance_Sheet_Data'!$A$2:$A$630,Q$3,'Balance_Sheet_Data'!$C$2:$C$630,"1000")</x:f>
        <x:v>2403485</x:v>
      </x:c>
      <x:c r="R33" s="37" t="n">
        <x:f>SUMIFS('Balance_Sheet_Data'!$E$2:$E$630,'Balance_Sheet_Data'!$A$2:$A$630,R$3,'Balance_Sheet_Data'!$C$2:$C$630,"1000")</x:f>
        <x:v>3660505</x:v>
      </x:c>
      <x:c r="S33" s="37" t="n">
        <x:f>SUMIFS('Balance_Sheet_Data'!$E$2:$E$630,'Balance_Sheet_Data'!$A$2:$A$630,S$3,'Balance_Sheet_Data'!$C$2:$C$630,"1000")</x:f>
        <x:v>3275639</x:v>
      </x:c>
      <x:c r="T33" s="37" t="n">
        <x:f>SUMIFS('Balance_Sheet_Data'!$E$2:$E$630,'Balance_Sheet_Data'!$A$2:$A$630,T$3,'Balance_Sheet_Data'!$C$2:$C$630,"1000")</x:f>
        <x:v>3770782</x:v>
      </x:c>
      <x:c r="U33" s="37" t="n">
        <x:f>SUMIFS('Balance_Sheet_Data'!$E$2:$E$630,'Balance_Sheet_Data'!$A$2:$A$630,U$3,'Balance_Sheet_Data'!$C$2:$C$630,"1000")</x:f>
        <x:v>4348654</x:v>
      </x:c>
      <x:c r="V33" s="37" t="n">
        <x:f>SUMIFS('Balance_Sheet_Data'!$E$2:$E$630,'Balance_Sheet_Data'!$A$2:$A$630,V$3,'Balance_Sheet_Data'!$C$2:$C$630,"1000")</x:f>
        <x:v>6063011</x:v>
      </x:c>
      <x:c r="W33" s="37" t="n">
        <x:f>SUMIFS('Balance_Sheet_Data'!$E$2:$E$630,'Balance_Sheet_Data'!$A$2:$A$630,W$3,'Balance_Sheet_Data'!$C$2:$C$630,"1000")</x:f>
        <x:v>6267643</x:v>
      </x:c>
      <x:c r="X33" s="37" t="n">
        <x:f>SUMIFS('Balance_Sheet_Data'!$E$2:$E$630,'Balance_Sheet_Data'!$A$2:$A$630,X$3,'Balance_Sheet_Data'!$C$2:$C$630,"1000")</x:f>
        <x:v>6007897</x:v>
      </x:c>
      <x:c r="Y33" s="37" t="n">
        <x:f>SUMIFS('Balance_Sheet_Data'!$E$2:$E$630,'Balance_Sheet_Data'!$A$2:$A$630,Y$3,'Balance_Sheet_Data'!$C$2:$C$630,"1000")</x:f>
        <x:v>5620368</x:v>
      </x:c>
      <x:c r="Z33" s="37" t="n">
        <x:f>SUMIFS('Balance_Sheet_Data'!$E$2:$E$630,'Balance_Sheet_Data'!$A$2:$A$630,Z$3,'Balance_Sheet_Data'!$C$2:$C$630,"1000")</x:f>
        <x:v>7325375</x:v>
      </x:c>
      <x:c r="AA33" s="37" t="n">
        <x:f>SUMIFS('Balance_Sheet_Data'!$E$2:$E$630,'Balance_Sheet_Data'!$A$2:$A$630,AA$3,'Balance_Sheet_Data'!$C$2:$C$630,"1000")</x:f>
        <x:v>6628133</x:v>
      </x:c>
      <x:c r="AB33" s="37" t="n">
        <x:f>SUMIFS('Balance_Sheet_Data'!$E$2:$E$630,'Balance_Sheet_Data'!$A$2:$A$630,AB$3,'Balance_Sheet_Data'!$C$2:$C$630,"1000")</x:f>
        <x:v>7607397</x:v>
      </x:c>
      <x:c r="AC33" s="37" t="n">
        <x:f>SUMIFS('Balance_Sheet_Data'!$E$2:$E$630,'Balance_Sheet_Data'!$A$2:$A$630,AC$3,'Balance_Sheet_Data'!$C$2:$C$630,"1000")</x:f>
        <x:v>7713802</x:v>
      </x:c>
      <x:c r="AD33" s="37" t="n">
        <x:f>SUMIFS('Balance_Sheet_Data'!$E$2:$E$630,'Balance_Sheet_Data'!$A$2:$A$630,AD$3,'Balance_Sheet_Data'!$C$2:$C$630,"1000")</x:f>
        <x:v>7914185</x:v>
      </x:c>
      <x:c r="AE33" s="37" t="n">
        <x:f>SUMIFS('Balance_Sheet_Data'!$E$2:$E$630,'Balance_Sheet_Data'!$A$2:$A$630,AE$3,'Balance_Sheet_Data'!$C$2:$C$630,"1000")</x:f>
        <x:v>7709828</x:v>
      </x:c>
      <x:c r="AF33" s="37" t="n">
        <x:f>SUMIFS('Balance_Sheet_Data'!$E$2:$E$630,'Balance_Sheet_Data'!$A$2:$A$630,AF$3,'Balance_Sheet_Data'!$C$2:$C$630,"1000")</x:f>
        <x:v>8555628</x:v>
      </x:c>
      <x:c r="AG33" s="37" t="n">
        <x:f>SUMIFS('Balance_Sheet_Data'!$E$2:$E$630,'Balance_Sheet_Data'!$A$2:$A$630,AG$3,'Balance_Sheet_Data'!$C$2:$C$630,"1000")</x:f>
        <x:v>9105862</x:v>
      </x:c>
      <x:c r="AH33" s="37" t="n">
        <x:f>SUMIFS('Balance_Sheet_Data'!$E$2:$E$630,'Balance_Sheet_Data'!$A$2:$A$630,AH$3,'Balance_Sheet_Data'!$C$2:$C$630,"1000")</x:f>
        <x:v>7882155</x:v>
      </x:c>
      <x:c r="AI33" s="37" t="n">
        <x:f>SUMIFS('Balance_Sheet_Data'!$E$2:$E$630,'Balance_Sheet_Data'!$A$2:$A$630,AI$3,'Balance_Sheet_Data'!$C$2:$C$630,"1000")</x:f>
        <x:v>8347633</x:v>
      </x:c>
      <x:c r="AJ33" s="37" t="n">
        <x:f>SUMIFS('Balance_Sheet_Data'!$E$2:$E$630,'Balance_Sheet_Data'!$A$2:$A$630,AJ$3,'Balance_Sheet_Data'!$C$2:$C$630,"1000")</x:f>
        <x:v>8376274</x:v>
      </x:c>
      <x:c r="AK33" s="37" t="n">
        <x:f>SUMIFS('Balance_Sheet_Data'!$E$2:$E$630,'Balance_Sheet_Data'!$A$2:$A$630,AK$3,'Balance_Sheet_Data'!$C$2:$C$630,"1000")</x:f>
        <x:v>8049522</x:v>
      </x:c>
    </x:row>
    <x:row r="34">
      <x:c r="A34" s="36" t="str">
        <x:v>Clientes</x:v>
      </x:c>
      <x:c r="B34" s="37" t="n">
        <x:f>SUMIFS('Balance_Sheet_Data'!$E$2:$E$630,'Balance_Sheet_Data'!$A$2:$A$630,B$3,'Balance_Sheet_Data'!$C$2:$C$630,"1100")</x:f>
        <x:v>4630645</x:v>
      </x:c>
      <x:c r="C34" s="37" t="n">
        <x:f>SUMIFS('Balance_Sheet_Data'!$E$2:$E$630,'Balance_Sheet_Data'!$A$2:$A$630,C$3,'Balance_Sheet_Data'!$C$2:$C$630,"1100")</x:f>
        <x:v>5191983</x:v>
      </x:c>
      <x:c r="D34" s="37" t="n">
        <x:f>SUMIFS('Balance_Sheet_Data'!$E$2:$E$630,'Balance_Sheet_Data'!$A$2:$A$630,D$3,'Balance_Sheet_Data'!$C$2:$C$630,"1100")</x:f>
        <x:v>5297679</x:v>
      </x:c>
      <x:c r="E34" s="37" t="n">
        <x:f>SUMIFS('Balance_Sheet_Data'!$E$2:$E$630,'Balance_Sheet_Data'!$A$2:$A$630,E$3,'Balance_Sheet_Data'!$C$2:$C$630,"1100")</x:f>
        <x:v>5435592</x:v>
      </x:c>
      <x:c r="F34" s="37" t="n">
        <x:f>SUMIFS('Balance_Sheet_Data'!$E$2:$E$630,'Balance_Sheet_Data'!$A$2:$A$630,F$3,'Balance_Sheet_Data'!$C$2:$C$630,"1100")</x:f>
        <x:v>5538457</x:v>
      </x:c>
      <x:c r="G34" s="37" t="n">
        <x:f>SUMIFS('Balance_Sheet_Data'!$E$2:$E$630,'Balance_Sheet_Data'!$A$2:$A$630,G$3,'Balance_Sheet_Data'!$C$2:$C$630,"1100")</x:f>
        <x:v>5891747</x:v>
      </x:c>
      <x:c r="H34" s="37" t="n">
        <x:f>SUMIFS('Balance_Sheet_Data'!$E$2:$E$630,'Balance_Sheet_Data'!$A$2:$A$630,H$3,'Balance_Sheet_Data'!$C$2:$C$630,"1100")</x:f>
        <x:v>5358022</x:v>
      </x:c>
      <x:c r="I34" s="37" t="n">
        <x:f>SUMIFS('Balance_Sheet_Data'!$E$2:$E$630,'Balance_Sheet_Data'!$A$2:$A$630,I$3,'Balance_Sheet_Data'!$C$2:$C$630,"1100")</x:f>
        <x:v>5108844</x:v>
      </x:c>
      <x:c r="J34" s="37" t="n">
        <x:f>SUMIFS('Balance_Sheet_Data'!$E$2:$E$630,'Balance_Sheet_Data'!$A$2:$A$630,J$3,'Balance_Sheet_Data'!$C$2:$C$630,"1100")</x:f>
        <x:v>6043908</x:v>
      </x:c>
      <x:c r="K34" s="37" t="n">
        <x:f>SUMIFS('Balance_Sheet_Data'!$E$2:$E$630,'Balance_Sheet_Data'!$A$2:$A$630,K$3,'Balance_Sheet_Data'!$C$2:$C$630,"1100")</x:f>
        <x:v>6022551</x:v>
      </x:c>
      <x:c r="L34" s="37" t="n">
        <x:f>SUMIFS('Balance_Sheet_Data'!$E$2:$E$630,'Balance_Sheet_Data'!$A$2:$A$630,L$3,'Balance_Sheet_Data'!$C$2:$C$630,"1100")</x:f>
        <x:v>6449311</x:v>
      </x:c>
      <x:c r="M34" s="37" t="n">
        <x:f>SUMIFS('Balance_Sheet_Data'!$E$2:$E$630,'Balance_Sheet_Data'!$A$2:$A$630,M$3,'Balance_Sheet_Data'!$C$2:$C$630,"1100")</x:f>
        <x:v>6673035</x:v>
      </x:c>
      <x:c r="N34" s="37" t="n">
        <x:f>SUMIFS('Balance_Sheet_Data'!$E$2:$E$630,'Balance_Sheet_Data'!$A$2:$A$630,N$3,'Balance_Sheet_Data'!$C$2:$C$630,"1100")</x:f>
        <x:v>4989525</x:v>
      </x:c>
      <x:c r="O34" s="37" t="n">
        <x:f>SUMIFS('Balance_Sheet_Data'!$E$2:$E$630,'Balance_Sheet_Data'!$A$2:$A$630,O$3,'Balance_Sheet_Data'!$C$2:$C$630,"1100")</x:f>
        <x:v>5688429</x:v>
      </x:c>
      <x:c r="P34" s="37" t="n">
        <x:f>SUMIFS('Balance_Sheet_Data'!$E$2:$E$630,'Balance_Sheet_Data'!$A$2:$A$630,P$3,'Balance_Sheet_Data'!$C$2:$C$630,"1100")</x:f>
        <x:v>5506211</x:v>
      </x:c>
      <x:c r="Q34" s="37" t="n">
        <x:f>SUMIFS('Balance_Sheet_Data'!$E$2:$E$630,'Balance_Sheet_Data'!$A$2:$A$630,Q$3,'Balance_Sheet_Data'!$C$2:$C$630,"1100")</x:f>
        <x:v>6586444</x:v>
      </x:c>
      <x:c r="R34" s="37" t="n">
        <x:f>SUMIFS('Balance_Sheet_Data'!$E$2:$E$630,'Balance_Sheet_Data'!$A$2:$A$630,R$3,'Balance_Sheet_Data'!$C$2:$C$630,"1100")</x:f>
        <x:v>6634239</x:v>
      </x:c>
      <x:c r="S34" s="37" t="n">
        <x:f>SUMIFS('Balance_Sheet_Data'!$E$2:$E$630,'Balance_Sheet_Data'!$A$2:$A$630,S$3,'Balance_Sheet_Data'!$C$2:$C$630,"1100")</x:f>
        <x:v>6999283</x:v>
      </x:c>
      <x:c r="T34" s="37" t="n">
        <x:f>SUMIFS('Balance_Sheet_Data'!$E$2:$E$630,'Balance_Sheet_Data'!$A$2:$A$630,T$3,'Balance_Sheet_Data'!$C$2:$C$630,"1100")</x:f>
        <x:v>6740837</x:v>
      </x:c>
      <x:c r="U34" s="37" t="n">
        <x:f>SUMIFS('Balance_Sheet_Data'!$E$2:$E$630,'Balance_Sheet_Data'!$A$2:$A$630,U$3,'Balance_Sheet_Data'!$C$2:$C$630,"1100")</x:f>
        <x:v>6423819</x:v>
      </x:c>
      <x:c r="V34" s="37" t="n">
        <x:f>SUMIFS('Balance_Sheet_Data'!$E$2:$E$630,'Balance_Sheet_Data'!$A$2:$A$630,V$3,'Balance_Sheet_Data'!$C$2:$C$630,"1100")</x:f>
        <x:v>6034379</x:v>
      </x:c>
      <x:c r="W34" s="37" t="n">
        <x:f>SUMIFS('Balance_Sheet_Data'!$E$2:$E$630,'Balance_Sheet_Data'!$A$2:$A$630,W$3,'Balance_Sheet_Data'!$C$2:$C$630,"1100")</x:f>
        <x:v>6061499</x:v>
      </x:c>
      <x:c r="X34" s="37" t="n">
        <x:f>SUMIFS('Balance_Sheet_Data'!$E$2:$E$630,'Balance_Sheet_Data'!$A$2:$A$630,X$3,'Balance_Sheet_Data'!$C$2:$C$630,"1100")</x:f>
        <x:v>6567744</x:v>
      </x:c>
      <x:c r="Y34" s="37" t="n">
        <x:f>SUMIFS('Balance_Sheet_Data'!$E$2:$E$630,'Balance_Sheet_Data'!$A$2:$A$630,Y$3,'Balance_Sheet_Data'!$C$2:$C$630,"1100")</x:f>
        <x:v>6896367</x:v>
      </x:c>
      <x:c r="Z34" s="37" t="n">
        <x:f>SUMIFS('Balance_Sheet_Data'!$E$2:$E$630,'Balance_Sheet_Data'!$A$2:$A$630,Z$3,'Balance_Sheet_Data'!$C$2:$C$630,"1100")</x:f>
        <x:v>5243633</x:v>
      </x:c>
      <x:c r="AA34" s="37" t="n">
        <x:f>SUMIFS('Balance_Sheet_Data'!$E$2:$E$630,'Balance_Sheet_Data'!$A$2:$A$630,AA$3,'Balance_Sheet_Data'!$C$2:$C$630,"1100")</x:f>
        <x:v>6084980</x:v>
      </x:c>
      <x:c r="AB34" s="37" t="n">
        <x:f>SUMIFS('Balance_Sheet_Data'!$E$2:$E$630,'Balance_Sheet_Data'!$A$2:$A$630,AB$3,'Balance_Sheet_Data'!$C$2:$C$630,"1100")</x:f>
        <x:v>5756427</x:v>
      </x:c>
      <x:c r="AC34" s="37" t="n">
        <x:f>SUMIFS('Balance_Sheet_Data'!$E$2:$E$630,'Balance_Sheet_Data'!$A$2:$A$630,AC$3,'Balance_Sheet_Data'!$C$2:$C$630,"1100")</x:f>
        <x:v>5913129</x:v>
      </x:c>
      <x:c r="AD34" s="37" t="n">
        <x:f>SUMIFS('Balance_Sheet_Data'!$E$2:$E$630,'Balance_Sheet_Data'!$A$2:$A$630,AD$3,'Balance_Sheet_Data'!$C$2:$C$630,"1100")</x:f>
        <x:v>6034445</x:v>
      </x:c>
      <x:c r="AE34" s="37" t="n">
        <x:f>SUMIFS('Balance_Sheet_Data'!$E$2:$E$630,'Balance_Sheet_Data'!$A$2:$A$630,AE$3,'Balance_Sheet_Data'!$C$2:$C$630,"1100")</x:f>
        <x:v>6431099</x:v>
      </x:c>
      <x:c r="AF34" s="37" t="n">
        <x:f>SUMIFS('Balance_Sheet_Data'!$E$2:$E$630,'Balance_Sheet_Data'!$A$2:$A$630,AF$3,'Balance_Sheet_Data'!$C$2:$C$630,"1100")</x:f>
        <x:v>5859884</x:v>
      </x:c>
      <x:c r="AG34" s="37" t="n">
        <x:f>SUMIFS('Balance_Sheet_Data'!$E$2:$E$630,'Balance_Sheet_Data'!$A$2:$A$630,AG$3,'Balance_Sheet_Data'!$C$2:$C$630,"1100")</x:f>
        <x:v>5598047</x:v>
      </x:c>
      <x:c r="AH34" s="37" t="n">
        <x:f>SUMIFS('Balance_Sheet_Data'!$E$2:$E$630,'Balance_Sheet_Data'!$A$2:$A$630,AH$3,'Balance_Sheet_Data'!$C$2:$C$630,"1100")</x:f>
        <x:v>6634131</x:v>
      </x:c>
      <x:c r="AI34" s="37" t="n">
        <x:f>SUMIFS('Balance_Sheet_Data'!$E$2:$E$630,'Balance_Sheet_Data'!$A$2:$A$630,AI$3,'Balance_Sheet_Data'!$C$2:$C$630,"1100")</x:f>
        <x:v>6620074</x:v>
      </x:c>
      <x:c r="AJ34" s="37" t="n">
        <x:f>SUMIFS('Balance_Sheet_Data'!$E$2:$E$630,'Balance_Sheet_Data'!$A$2:$A$630,AJ$3,'Balance_Sheet_Data'!$C$2:$C$630,"1100")</x:f>
        <x:v>7096144</x:v>
      </x:c>
      <x:c r="AK34" s="37" t="n">
        <x:f>SUMIFS('Balance_Sheet_Data'!$E$2:$E$630,'Balance_Sheet_Data'!$A$2:$A$630,AK$3,'Balance_Sheet_Data'!$C$2:$C$630,"1100")</x:f>
        <x:v>7345561</x:v>
      </x:c>
    </x:row>
    <x:row r="35">
      <x:c r="A35" s="36" t="str">
        <x:v>Existencias</x:v>
      </x:c>
      <x:c r="B35" s="37" t="n">
        <x:f>SUMIFS('Balance_Sheet_Data'!$E$2:$E$630,'Balance_Sheet_Data'!$A$2:$A$630,B$3,'Balance_Sheet_Data'!$C$2:$C$630,"1200")</x:f>
        <x:v>2787648</x:v>
      </x:c>
      <x:c r="C35" s="37" t="n">
        <x:f>SUMIFS('Balance_Sheet_Data'!$E$2:$E$630,'Balance_Sheet_Data'!$A$2:$A$630,C$3,'Balance_Sheet_Data'!$C$2:$C$630,"1200")</x:f>
        <x:v>3094336</x:v>
      </x:c>
      <x:c r="D35" s="37" t="n">
        <x:f>SUMIFS('Balance_Sheet_Data'!$E$2:$E$630,'Balance_Sheet_Data'!$A$2:$A$630,D$3,'Balance_Sheet_Data'!$C$2:$C$630,"1200")</x:f>
        <x:v>3121060</x:v>
      </x:c>
      <x:c r="E35" s="37" t="n">
        <x:f>SUMIFS('Balance_Sheet_Data'!$E$2:$E$630,'Balance_Sheet_Data'!$A$2:$A$630,E$3,'Balance_Sheet_Data'!$C$2:$C$630,"1200")</x:f>
        <x:v>3162659</x:v>
      </x:c>
      <x:c r="F35" s="37" t="n">
        <x:f>SUMIFS('Balance_Sheet_Data'!$E$2:$E$630,'Balance_Sheet_Data'!$A$2:$A$630,F$3,'Balance_Sheet_Data'!$C$2:$C$630,"1200")</x:f>
        <x:v>3181640</x:v>
      </x:c>
      <x:c r="G35" s="37" t="n">
        <x:f>SUMIFS('Balance_Sheet_Data'!$E$2:$E$630,'Balance_Sheet_Data'!$A$2:$A$630,G$3,'Balance_Sheet_Data'!$C$2:$C$630,"1200")</x:f>
        <x:v>3342550</x:v>
      </x:c>
      <x:c r="H35" s="37" t="n">
        <x:f>SUMIFS('Balance_Sheet_Data'!$E$2:$E$630,'Balance_Sheet_Data'!$A$2:$A$630,H$3,'Balance_Sheet_Data'!$C$2:$C$630,"1200")</x:f>
        <x:v>3004369</x:v>
      </x:c>
      <x:c r="I35" s="37" t="n">
        <x:f>SUMIFS('Balance_Sheet_Data'!$E$2:$E$630,'Balance_Sheet_Data'!$A$2:$A$630,I$3,'Balance_Sheet_Data'!$C$2:$C$630,"1200")</x:f>
        <x:v>2834845</x:v>
      </x:c>
      <x:c r="J35" s="37" t="n">
        <x:f>SUMIFS('Balance_Sheet_Data'!$E$2:$E$630,'Balance_Sheet_Data'!$A$2:$A$630,J$3,'Balance_Sheet_Data'!$C$2:$C$630,"1200")</x:f>
        <x:v>3324259</x:v>
      </x:c>
      <x:c r="K35" s="37" t="n">
        <x:f>SUMIFS('Balance_Sheet_Data'!$E$2:$E$630,'Balance_Sheet_Data'!$A$2:$A$630,K$3,'Balance_Sheet_Data'!$C$2:$C$630,"1200")</x:f>
        <x:v>3289805</x:v>
      </x:c>
      <x:c r="L35" s="37" t="n">
        <x:f>SUMIFS('Balance_Sheet_Data'!$E$2:$E$630,'Balance_Sheet_Data'!$A$2:$A$630,L$3,'Balance_Sheet_Data'!$C$2:$C$630,"1200")</x:f>
        <x:v>3506280</x:v>
      </x:c>
      <x:c r="M35" s="37" t="n">
        <x:f>SUMIFS('Balance_Sheet_Data'!$E$2:$E$630,'Balance_Sheet_Data'!$A$2:$A$630,M$3,'Balance_Sheet_Data'!$C$2:$C$630,"1200")</x:f>
        <x:v>3618872</x:v>
      </x:c>
      <x:c r="N35" s="37" t="n">
        <x:f>SUMIFS('Balance_Sheet_Data'!$E$2:$E$630,'Balance_Sheet_Data'!$A$2:$A$630,N$3,'Balance_Sheet_Data'!$C$2:$C$630,"1200")</x:f>
        <x:v>2705162</x:v>
      </x:c>
      <x:c r="O35" s="37" t="n">
        <x:f>SUMIFS('Balance_Sheet_Data'!$E$2:$E$630,'Balance_Sheet_Data'!$A$2:$A$630,O$3,'Balance_Sheet_Data'!$C$2:$C$630,"1200")</x:f>
        <x:v>3089748</x:v>
      </x:c>
      <x:c r="P35" s="37" t="n">
        <x:f>SUMIFS('Balance_Sheet_Data'!$E$2:$E$630,'Balance_Sheet_Data'!$A$2:$A$630,P$3,'Balance_Sheet_Data'!$C$2:$C$630,"1200")</x:f>
        <x:v>3001869</x:v>
      </x:c>
      <x:c r="Q35" s="37" t="n">
        <x:f>SUMIFS('Balance_Sheet_Data'!$E$2:$E$630,'Balance_Sheet_Data'!$A$2:$A$630,Q$3,'Balance_Sheet_Data'!$C$2:$C$630,"1200")</x:f>
        <x:v>3672760</x:v>
      </x:c>
      <x:c r="R35" s="37" t="n">
        <x:f>SUMIFS('Balance_Sheet_Data'!$E$2:$E$630,'Balance_Sheet_Data'!$A$2:$A$630,R$3,'Balance_Sheet_Data'!$C$2:$C$630,"1200")</x:f>
        <x:v>3718201</x:v>
      </x:c>
      <x:c r="S35" s="37" t="n">
        <x:f>SUMIFS('Balance_Sheet_Data'!$E$2:$E$630,'Balance_Sheet_Data'!$A$2:$A$630,S$3,'Balance_Sheet_Data'!$C$2:$C$630,"1200")</x:f>
        <x:v>3945022</x:v>
      </x:c>
      <x:c r="T35" s="37" t="n">
        <x:f>SUMIFS('Balance_Sheet_Data'!$E$2:$E$630,'Balance_Sheet_Data'!$A$2:$A$630,T$3,'Balance_Sheet_Data'!$C$2:$C$630,"1200")</x:f>
        <x:v>3821809</x:v>
      </x:c>
      <x:c r="U35" s="37" t="n">
        <x:f>SUMIFS('Balance_Sheet_Data'!$E$2:$E$630,'Balance_Sheet_Data'!$A$2:$A$630,U$3,'Balance_Sheet_Data'!$C$2:$C$630,"1200")</x:f>
        <x:v>3556947</x:v>
      </x:c>
      <x:c r="V35" s="37" t="n">
        <x:f>SUMIFS('Balance_Sheet_Data'!$E$2:$E$630,'Balance_Sheet_Data'!$A$2:$A$630,V$3,'Balance_Sheet_Data'!$C$2:$C$630,"1200")</x:f>
        <x:v>3424442</x:v>
      </x:c>
      <x:c r="W35" s="37" t="n">
        <x:f>SUMIFS('Balance_Sheet_Data'!$E$2:$E$630,'Balance_Sheet_Data'!$A$2:$A$630,W$3,'Balance_Sheet_Data'!$C$2:$C$630,"1200")</x:f>
        <x:v>3460490</x:v>
      </x:c>
      <x:c r="X35" s="37" t="n">
        <x:f>SUMIFS('Balance_Sheet_Data'!$E$2:$E$630,'Balance_Sheet_Data'!$A$2:$A$630,X$3,'Balance_Sheet_Data'!$C$2:$C$630,"1200")</x:f>
        <x:v>3768528</x:v>
      </x:c>
      <x:c r="Y35" s="37" t="n">
        <x:f>SUMIFS('Balance_Sheet_Data'!$E$2:$E$630,'Balance_Sheet_Data'!$A$2:$A$630,Y$3,'Balance_Sheet_Data'!$C$2:$C$630,"1200")</x:f>
        <x:v>3973201</x:v>
      </x:c>
      <x:c r="Z35" s="37" t="n">
        <x:f>SUMIFS('Balance_Sheet_Data'!$E$2:$E$630,'Balance_Sheet_Data'!$A$2:$A$630,Z$3,'Balance_Sheet_Data'!$C$2:$C$630,"1200")</x:f>
        <x:v>3030341</x:v>
      </x:c>
      <x:c r="AA35" s="37" t="n">
        <x:f>SUMIFS('Balance_Sheet_Data'!$E$2:$E$630,'Balance_Sheet_Data'!$A$2:$A$630,AA$3,'Balance_Sheet_Data'!$C$2:$C$630,"1200")</x:f>
        <x:v>3524279</x:v>
      </x:c>
      <x:c r="AB35" s="37" t="n">
        <x:f>SUMIFS('Balance_Sheet_Data'!$E$2:$E$630,'Balance_Sheet_Data'!$A$2:$A$630,AB$3,'Balance_Sheet_Data'!$C$2:$C$630,"1200")</x:f>
        <x:v>3261566</x:v>
      </x:c>
      <x:c r="AC35" s="37" t="n">
        <x:f>SUMIFS('Balance_Sheet_Data'!$E$2:$E$630,'Balance_Sheet_Data'!$A$2:$A$630,AC$3,'Balance_Sheet_Data'!$C$2:$C$630,"1200")</x:f>
        <x:v>3287353</x:v>
      </x:c>
      <x:c r="AD35" s="37" t="n">
        <x:f>SUMIFS('Balance_Sheet_Data'!$E$2:$E$630,'Balance_Sheet_Data'!$A$2:$A$630,AD$3,'Balance_Sheet_Data'!$C$2:$C$630,"1200")</x:f>
        <x:v>3357019</x:v>
      </x:c>
      <x:c r="AE35" s="37" t="n">
        <x:f>SUMIFS('Balance_Sheet_Data'!$E$2:$E$630,'Balance_Sheet_Data'!$A$2:$A$630,AE$3,'Balance_Sheet_Data'!$C$2:$C$630,"1200")</x:f>
        <x:v>3578879</x:v>
      </x:c>
      <x:c r="AF35" s="37" t="n">
        <x:f>SUMIFS('Balance_Sheet_Data'!$E$2:$E$630,'Balance_Sheet_Data'!$A$2:$A$630,AF$3,'Balance_Sheet_Data'!$C$2:$C$630,"1200")</x:f>
        <x:v>3261469</x:v>
      </x:c>
      <x:c r="AG35" s="37" t="n">
        <x:f>SUMIFS('Balance_Sheet_Data'!$E$2:$E$630,'Balance_Sheet_Data'!$A$2:$A$630,AG$3,'Balance_Sheet_Data'!$C$2:$C$630,"1200")</x:f>
        <x:v>3115882</x:v>
      </x:c>
      <x:c r="AH35" s="37" t="n">
        <x:f>SUMIFS('Balance_Sheet_Data'!$E$2:$E$630,'Balance_Sheet_Data'!$A$2:$A$630,AH$3,'Balance_Sheet_Data'!$C$2:$C$630,"1200")</x:f>
        <x:v>3692554</x:v>
      </x:c>
      <x:c r="AI35" s="37" t="n">
        <x:f>SUMIFS('Balance_Sheet_Data'!$E$2:$E$630,'Balance_Sheet_Data'!$A$2:$A$630,AI$3,'Balance_Sheet_Data'!$C$2:$C$630,"1200")</x:f>
        <x:v>3684518</x:v>
      </x:c>
      <x:c r="AJ35" s="37" t="n">
        <x:f>SUMIFS('Balance_Sheet_Data'!$E$2:$E$630,'Balance_Sheet_Data'!$A$2:$A$630,AJ$3,'Balance_Sheet_Data'!$C$2:$C$630,"1200")</x:f>
        <x:v>3948817</x:v>
      </x:c>
      <x:c r="AK35" s="37" t="n">
        <x:f>SUMIFS('Balance_Sheet_Data'!$E$2:$E$630,'Balance_Sheet_Data'!$A$2:$A$630,AK$3,'Balance_Sheet_Data'!$C$2:$C$630,"1200")</x:f>
        <x:v>4086060</x:v>
      </x:c>
    </x:row>
    <x:row r="36">
      <x:c r="A36" s="36" t="str">
        <x:v>Otros activos corrientes</x:v>
      </x:c>
      <x:c r="B36" s="37" t="n">
        <x:f>SUMIFS('Balance_Sheet_Data'!$E$2:$E$630,'Balance_Sheet_Data'!$A$2:$A$630,B$3,'Balance_Sheet_Data'!$C$2:$C$630,"1300")</x:f>
        <x:v>548100</x:v>
      </x:c>
      <x:c r="C36" s="37" t="n">
        <x:f>SUMIFS('Balance_Sheet_Data'!$E$2:$E$630,'Balance_Sheet_Data'!$A$2:$A$630,C$3,'Balance_Sheet_Data'!$C$2:$C$630,"1300")</x:f>
        <x:v>569768</x:v>
      </x:c>
      <x:c r="D36" s="37" t="n">
        <x:f>SUMIFS('Balance_Sheet_Data'!$E$2:$E$630,'Balance_Sheet_Data'!$A$2:$A$630,D$3,'Balance_Sheet_Data'!$C$2:$C$630,"1300")</x:f>
        <x:v>616308</x:v>
      </x:c>
      <x:c r="E36" s="37" t="n">
        <x:f>SUMIFS('Balance_Sheet_Data'!$E$2:$E$630,'Balance_Sheet_Data'!$A$2:$A$630,E$3,'Balance_Sheet_Data'!$C$2:$C$630,"1300")</x:f>
        <x:v>607563</x:v>
      </x:c>
      <x:c r="F36" s="37" t="n">
        <x:f>SUMIFS('Balance_Sheet_Data'!$E$2:$E$630,'Balance_Sheet_Data'!$A$2:$A$630,F$3,'Balance_Sheet_Data'!$C$2:$C$630,"1300")</x:f>
        <x:v>636088</x:v>
      </x:c>
      <x:c r="G36" s="37" t="n">
        <x:f>SUMIFS('Balance_Sheet_Data'!$E$2:$E$630,'Balance_Sheet_Data'!$A$2:$A$630,G$3,'Balance_Sheet_Data'!$C$2:$C$630,"1300")</x:f>
        <x:v>652361</x:v>
      </x:c>
      <x:c r="H36" s="37" t="n">
        <x:f>SUMIFS('Balance_Sheet_Data'!$E$2:$E$630,'Balance_Sheet_Data'!$A$2:$A$630,H$3,'Balance_Sheet_Data'!$C$2:$C$630,"1300")</x:f>
        <x:v>611996</x:v>
      </x:c>
      <x:c r="I36" s="37" t="n">
        <x:f>SUMIFS('Balance_Sheet_Data'!$E$2:$E$630,'Balance_Sheet_Data'!$A$2:$A$630,I$3,'Balance_Sheet_Data'!$C$2:$C$630,"1300")</x:f>
        <x:v>583812</x:v>
      </x:c>
      <x:c r="J36" s="37" t="n">
        <x:f>SUMIFS('Balance_Sheet_Data'!$E$2:$E$630,'Balance_Sheet_Data'!$A$2:$A$630,J$3,'Balance_Sheet_Data'!$C$2:$C$630,"1300")</x:f>
        <x:v>670144</x:v>
      </x:c>
      <x:c r="K36" s="37" t="n">
        <x:f>SUMIFS('Balance_Sheet_Data'!$E$2:$E$630,'Balance_Sheet_Data'!$A$2:$A$630,K$3,'Balance_Sheet_Data'!$C$2:$C$630,"1300")</x:f>
        <x:v>693237</x:v>
      </x:c>
      <x:c r="L36" s="37" t="n">
        <x:f>SUMIFS('Balance_Sheet_Data'!$E$2:$E$630,'Balance_Sheet_Data'!$A$2:$A$630,L$3,'Balance_Sheet_Data'!$C$2:$C$630,"1300")</x:f>
        <x:v>723005</x:v>
      </x:c>
      <x:c r="M36" s="37" t="n">
        <x:f>SUMIFS('Balance_Sheet_Data'!$E$2:$E$630,'Balance_Sheet_Data'!$A$2:$A$630,M$3,'Balance_Sheet_Data'!$C$2:$C$630,"1300")</x:f>
        <x:v>779033</x:v>
      </x:c>
      <x:c r="N36" s="37" t="n">
        <x:f>SUMIFS('Balance_Sheet_Data'!$E$2:$E$630,'Balance_Sheet_Data'!$A$2:$A$630,N$3,'Balance_Sheet_Data'!$C$2:$C$630,"1300")</x:f>
        <x:v>587563</x:v>
      </x:c>
      <x:c r="O36" s="37" t="n">
        <x:f>SUMIFS('Balance_Sheet_Data'!$E$2:$E$630,'Balance_Sheet_Data'!$A$2:$A$630,O$3,'Balance_Sheet_Data'!$C$2:$C$630,"1300")</x:f>
        <x:v>610547</x:v>
      </x:c>
      <x:c r="P36" s="37" t="n">
        <x:f>SUMIFS('Balance_Sheet_Data'!$E$2:$E$630,'Balance_Sheet_Data'!$A$2:$A$630,P$3,'Balance_Sheet_Data'!$C$2:$C$630,"1300")</x:f>
        <x:v>660156</x:v>
      </x:c>
      <x:c r="Q36" s="37" t="n">
        <x:f>SUMIFS('Balance_Sheet_Data'!$E$2:$E$630,'Balance_Sheet_Data'!$A$2:$A$630,Q$3,'Balance_Sheet_Data'!$C$2:$C$630,"1300")</x:f>
        <x:v>611502</x:v>
      </x:c>
      <x:c r="R36" s="37" t="n">
        <x:f>SUMIFS('Balance_Sheet_Data'!$E$2:$E$630,'Balance_Sheet_Data'!$A$2:$A$630,R$3,'Balance_Sheet_Data'!$C$2:$C$630,"1300")</x:f>
        <x:v>639965</x:v>
      </x:c>
      <x:c r="S36" s="37" t="n">
        <x:f>SUMIFS('Balance_Sheet_Data'!$E$2:$E$630,'Balance_Sheet_Data'!$A$2:$A$630,S$3,'Balance_Sheet_Data'!$C$2:$C$630,"1300")</x:f>
        <x:v>656085</x:v>
      </x:c>
      <x:c r="T36" s="37" t="n">
        <x:f>SUMIFS('Balance_Sheet_Data'!$E$2:$E$630,'Balance_Sheet_Data'!$A$2:$A$630,T$3,'Balance_Sheet_Data'!$C$2:$C$630,"1300")</x:f>
        <x:v>654529</x:v>
      </x:c>
      <x:c r="U36" s="37" t="n">
        <x:f>SUMIFS('Balance_Sheet_Data'!$E$2:$E$630,'Balance_Sheet_Data'!$A$2:$A$630,U$3,'Balance_Sheet_Data'!$C$2:$C$630,"1300")</x:f>
        <x:v>624152</x:v>
      </x:c>
      <x:c r="V36" s="37" t="n">
        <x:f>SUMIFS('Balance_Sheet_Data'!$E$2:$E$630,'Balance_Sheet_Data'!$A$2:$A$630,V$3,'Balance_Sheet_Data'!$C$2:$C$630,"1300")</x:f>
        <x:v>716184</x:v>
      </x:c>
      <x:c r="W36" s="37" t="n">
        <x:f>SUMIFS('Balance_Sheet_Data'!$E$2:$E$630,'Balance_Sheet_Data'!$A$2:$A$630,W$3,'Balance_Sheet_Data'!$C$2:$C$630,"1300")</x:f>
        <x:v>740593</x:v>
      </x:c>
      <x:c r="X36" s="37" t="n">
        <x:f>SUMIFS('Balance_Sheet_Data'!$E$2:$E$630,'Balance_Sheet_Data'!$A$2:$A$630,X$3,'Balance_Sheet_Data'!$C$2:$C$630,"1300")</x:f>
        <x:v>772115</x:v>
      </x:c>
      <x:c r="Y36" s="37" t="n">
        <x:f>SUMIFS('Balance_Sheet_Data'!$E$2:$E$630,'Balance_Sheet_Data'!$A$2:$A$630,Y$3,'Balance_Sheet_Data'!$C$2:$C$630,"1300")</x:f>
        <x:v>831650</x:v>
      </x:c>
      <x:c r="Z36" s="37" t="n">
        <x:f>SUMIFS('Balance_Sheet_Data'!$E$2:$E$630,'Balance_Sheet_Data'!$A$2:$A$630,Z$3,'Balance_Sheet_Data'!$C$2:$C$630,"1300")</x:f>
        <x:v>627026</x:v>
      </x:c>
      <x:c r="AA36" s="37" t="n">
        <x:f>SUMIFS('Balance_Sheet_Data'!$E$2:$E$630,'Balance_Sheet_Data'!$A$2:$A$630,AA$3,'Balance_Sheet_Data'!$C$2:$C$630,"1300")</x:f>
        <x:v>651326</x:v>
      </x:c>
      <x:c r="AB36" s="37" t="n">
        <x:f>SUMIFS('Balance_Sheet_Data'!$E$2:$E$630,'Balance_Sheet_Data'!$A$2:$A$630,AB$3,'Balance_Sheet_Data'!$C$2:$C$630,"1300")</x:f>
        <x:v>728644</x:v>
      </x:c>
      <x:c r="AC36" s="37" t="n">
        <x:f>SUMIFS('Balance_Sheet_Data'!$E$2:$E$630,'Balance_Sheet_Data'!$A$2:$A$630,AC$3,'Balance_Sheet_Data'!$C$2:$C$630,"1300")</x:f>
        <x:v>717777</x:v>
      </x:c>
      <x:c r="AD36" s="37" t="n">
        <x:f>SUMIFS('Balance_Sheet_Data'!$E$2:$E$630,'Balance_Sheet_Data'!$A$2:$A$630,AD$3,'Balance_Sheet_Data'!$C$2:$C$630,"1300")</x:f>
        <x:v>750932</x:v>
      </x:c>
      <x:c r="AE36" s="37" t="n">
        <x:f>SUMIFS('Balance_Sheet_Data'!$E$2:$E$630,'Balance_Sheet_Data'!$A$2:$A$630,AE$3,'Balance_Sheet_Data'!$C$2:$C$630,"1300")</x:f>
        <x:v>769589</x:v>
      </x:c>
      <x:c r="AF36" s="37" t="n">
        <x:f>SUMIFS('Balance_Sheet_Data'!$E$2:$E$630,'Balance_Sheet_Data'!$A$2:$A$630,AF$3,'Balance_Sheet_Data'!$C$2:$C$630,"1300")</x:f>
        <x:v>721459</x:v>
      </x:c>
      <x:c r="AG36" s="37" t="n">
        <x:f>SUMIFS('Balance_Sheet_Data'!$E$2:$E$630,'Balance_Sheet_Data'!$A$2:$A$630,AG$3,'Balance_Sheet_Data'!$C$2:$C$630,"1300")</x:f>
        <x:v>687749</x:v>
      </x:c>
      <x:c r="AH36" s="37" t="n">
        <x:f>SUMIFS('Balance_Sheet_Data'!$E$2:$E$630,'Balance_Sheet_Data'!$A$2:$A$630,AH$3,'Balance_Sheet_Data'!$C$2:$C$630,"1300")</x:f>
        <x:v>788902</x:v>
      </x:c>
      <x:c r="AI36" s="37" t="n">
        <x:f>SUMIFS('Balance_Sheet_Data'!$E$2:$E$630,'Balance_Sheet_Data'!$A$2:$A$630,AI$3,'Balance_Sheet_Data'!$C$2:$C$630,"1300")</x:f>
        <x:v>815527</x:v>
      </x:c>
      <x:c r="AJ36" s="37" t="n">
        <x:f>SUMIFS('Balance_Sheet_Data'!$E$2:$E$630,'Balance_Sheet_Data'!$A$2:$A$630,AJ$3,'Balance_Sheet_Data'!$C$2:$C$630,"1300")</x:f>
        <x:v>849967</x:v>
      </x:c>
      <x:c r="AK36" s="37" t="n">
        <x:f>SUMIFS('Balance_Sheet_Data'!$E$2:$E$630,'Balance_Sheet_Data'!$A$2:$A$630,AK$3,'Balance_Sheet_Data'!$C$2:$C$630,"1300")</x:f>
        <x:v>915217</x:v>
      </x:c>
    </x:row>
    <x:row r="37">
      <x:c r="A37" s="38" t="str">
        <x:v>Total activo corriente</x:v>
      </x:c>
      <x:c r="B37" s="39" t="n">
        <x:f>SUM(B33:B36)</x:f>
        <x:v>10574936</x:v>
      </x:c>
      <x:c r="C37" s="39" t="n">
        <x:f>SUM(C33:C36)</x:f>
        <x:v>11078332</x:v>
      </x:c>
      <x:c r="D37" s="39" t="n">
        <x:f>SUM(D33:D36)</x:f>
        <x:v>11242812</x:v>
      </x:c>
      <x:c r="E37" s="39" t="n">
        <x:f>SUM(E33:E36)</x:f>
        <x:v>11478193</x:v>
      </x:c>
      <x:c r="F37" s="39" t="n">
        <x:f>SUM(F33:F36)</x:f>
        <x:v>11776809</x:v>
      </x:c>
      <x:c r="G37" s="39" t="n">
        <x:f>SUM(G33:G36)</x:f>
        <x:v>12050890</x:v>
      </x:c>
      <x:c r="H37" s="39" t="n">
        <x:f>SUM(H33:H36)</x:f>
        <x:v>11882691</x:v>
      </x:c>
      <x:c r="I37" s="39" t="n">
        <x:f>SUM(I33:I36)</x:f>
        <x:v>11882882</x:v>
      </x:c>
      <x:c r="J37" s="39" t="n">
        <x:f>SUM(J33:J36)</x:f>
        <x:v>12639668</x:v>
      </x:c>
      <x:c r="K37" s="39" t="n">
        <x:f>SUM(K33:K36)</x:f>
        <x:v>12945948</x:v>
      </x:c>
      <x:c r="L37" s="39" t="n">
        <x:f>SUM(L33:L36)</x:f>
        <x:v>13544312</x:v>
      </x:c>
      <x:c r="M37" s="39" t="n">
        <x:f>SUM(M33:M36)</x:f>
        <x:v>13816940</x:v>
      </x:c>
      <x:c r="N37" s="39" t="n">
        <x:f>SUM(N33:N36)</x:f>
        <x:v>12784171</x:v>
      </x:c>
      <x:c r="O37" s="39" t="n">
        <x:f>SUM(O33:O36)</x:f>
        <x:v>13477883</x:v>
      </x:c>
      <x:c r="P37" s="39" t="n">
        <x:f>SUM(P33:P36)</x:f>
        <x:v>13592686</x:v>
      </x:c>
      <x:c r="Q37" s="39" t="n">
        <x:f>SUM(Q33:Q36)</x:f>
        <x:v>13274191</x:v>
      </x:c>
      <x:c r="R37" s="39" t="n">
        <x:f>SUM(R33:R36)</x:f>
        <x:v>14652910</x:v>
      </x:c>
      <x:c r="S37" s="39" t="n">
        <x:f>SUM(S33:S36)</x:f>
        <x:v>14876029</x:v>
      </x:c>
      <x:c r="T37" s="39" t="n">
        <x:f>SUM(T33:T36)</x:f>
        <x:v>14987957</x:v>
      </x:c>
      <x:c r="U37" s="39" t="n">
        <x:f>SUM(U33:U36)</x:f>
        <x:v>14953572</x:v>
      </x:c>
      <x:c r="V37" s="39" t="n">
        <x:f>SUM(V33:V36)</x:f>
        <x:v>16238016</x:v>
      </x:c>
      <x:c r="W37" s="39" t="n">
        <x:f>SUM(W33:W36)</x:f>
        <x:v>16530225</x:v>
      </x:c>
      <x:c r="X37" s="39" t="n">
        <x:f>SUM(X33:X36)</x:f>
        <x:v>17116284</x:v>
      </x:c>
      <x:c r="Y37" s="39" t="n">
        <x:f>SUM(Y33:Y36)</x:f>
        <x:v>17321586</x:v>
      </x:c>
      <x:c r="Z37" s="39" t="n">
        <x:f>SUM(Z33:Z36)</x:f>
        <x:v>16226375</x:v>
      </x:c>
      <x:c r="AA37" s="39" t="n">
        <x:f>SUM(AA33:AA36)</x:f>
        <x:v>16888718</x:v>
      </x:c>
      <x:c r="AB37" s="39" t="n">
        <x:f>SUM(AB33:AB36)</x:f>
        <x:v>17354034</x:v>
      </x:c>
      <x:c r="AC37" s="39" t="n">
        <x:f>SUM(AC33:AC36)</x:f>
        <x:v>17632061</x:v>
      </x:c>
      <x:c r="AD37" s="39" t="n">
        <x:f>SUM(AD33:AD36)</x:f>
        <x:v>18056581</x:v>
      </x:c>
      <x:c r="AE37" s="39" t="n">
        <x:f>SUM(AE33:AE36)</x:f>
        <x:v>18489395</x:v>
      </x:c>
      <x:c r="AF37" s="39" t="n">
        <x:f>SUM(AF33:AF36)</x:f>
        <x:v>18398440</x:v>
      </x:c>
      <x:c r="AG37" s="39" t="n">
        <x:f>SUM(AG33:AG36)</x:f>
        <x:v>18507540</x:v>
      </x:c>
      <x:c r="AH37" s="39" t="n">
        <x:f>SUM(AH33:AH36)</x:f>
        <x:v>18997742</x:v>
      </x:c>
      <x:c r="AI37" s="39" t="n">
        <x:f>SUM(AI33:AI36)</x:f>
        <x:v>19467752</x:v>
      </x:c>
      <x:c r="AJ37" s="39" t="n">
        <x:f>SUM(AJ33:AJ36)</x:f>
        <x:v>20271202</x:v>
      </x:c>
      <x:c r="AK37" s="39" t="n">
        <x:f>SUM(AK33:AK36)</x:f>
        <x:v>20396360</x:v>
      </x:c>
    </x:row>
    <x:row r="38">
      <x:c r="A38" s="36" t="str">
        <x:v>Inmovilizado material neto</x:v>
      </x:c>
      <x:c r="B38" s="37" t="n">
        <x:f>SUMIFS('Balance_Sheet_Data'!$E$2:$E$630,'Balance_Sheet_Data'!$A$2:$A$630,B$3,'Balance_Sheet_Data'!$C$2:$C$630,"1400")</x:f>
        <x:v>8035000</x:v>
      </x:c>
      <x:c r="C38" s="37" t="n">
        <x:f>SUMIFS('Balance_Sheet_Data'!$E$2:$E$630,'Balance_Sheet_Data'!$A$2:$A$630,C$3,'Balance_Sheet_Data'!$C$2:$C$630,"1400")</x:f>
        <x:v>8075680</x:v>
      </x:c>
      <x:c r="D38" s="37" t="n">
        <x:f>SUMIFS('Balance_Sheet_Data'!$E$2:$E$630,'Balance_Sheet_Data'!$A$2:$A$630,D$3,'Balance_Sheet_Data'!$C$2:$C$630,"1400")</x:f>
        <x:v>8121139</x:v>
      </x:c>
      <x:c r="E38" s="37" t="n">
        <x:f>SUMIFS('Balance_Sheet_Data'!$E$2:$E$630,'Balance_Sheet_Data'!$A$2:$A$630,E$3,'Balance_Sheet_Data'!$C$2:$C$630,"1400")</x:f>
        <x:v>8169676</x:v>
      </x:c>
      <x:c r="F38" s="37" t="n">
        <x:f>SUMIFS('Balance_Sheet_Data'!$E$2:$E$630,'Balance_Sheet_Data'!$A$2:$A$630,F$3,'Balance_Sheet_Data'!$C$2:$C$630,"1400")</x:f>
        <x:v>8218974</x:v>
      </x:c>
      <x:c r="G38" s="37" t="n">
        <x:f>SUMIFS('Balance_Sheet_Data'!$E$2:$E$630,'Balance_Sheet_Data'!$A$2:$A$630,G$3,'Balance_Sheet_Data'!$C$2:$C$630,"1400")</x:f>
        <x:v>8266359</x:v>
      </x:c>
      <x:c r="H38" s="37" t="n">
        <x:f>SUMIFS('Balance_Sheet_Data'!$E$2:$E$630,'Balance_Sheet_Data'!$A$2:$A$630,H$3,'Balance_Sheet_Data'!$C$2:$C$630,"1400")</x:f>
        <x:v>8309091</x:v>
      </x:c>
      <x:c r="I38" s="37" t="n">
        <x:f>SUMIFS('Balance_Sheet_Data'!$E$2:$E$630,'Balance_Sheet_Data'!$A$2:$A$630,I$3,'Balance_Sheet_Data'!$C$2:$C$630,"1400")</x:f>
        <x:v>8344668</x:v>
      </x:c>
      <x:c r="J38" s="37" t="n">
        <x:f>SUMIFS('Balance_Sheet_Data'!$E$2:$E$630,'Balance_Sheet_Data'!$A$2:$A$630,J$3,'Balance_Sheet_Data'!$C$2:$C$630,"1400")</x:f>
        <x:v>8371100</x:v>
      </x:c>
      <x:c r="K38" s="37" t="n">
        <x:f>SUMIFS('Balance_Sheet_Data'!$E$2:$E$630,'Balance_Sheet_Data'!$A$2:$A$630,K$3,'Balance_Sheet_Data'!$C$2:$C$630,"1400")</x:f>
        <x:v>8387128</x:v>
      </x:c>
      <x:c r="L38" s="37" t="n">
        <x:f>SUMIFS('Balance_Sheet_Data'!$E$2:$E$630,'Balance_Sheet_Data'!$A$2:$A$630,L$3,'Balance_Sheet_Data'!$C$2:$C$630,"1400")</x:f>
        <x:v>8392364</x:v>
      </x:c>
      <x:c r="M38" s="37" t="n">
        <x:f>SUMIFS('Balance_Sheet_Data'!$E$2:$E$630,'Balance_Sheet_Data'!$A$2:$A$630,M$3,'Balance_Sheet_Data'!$C$2:$C$630,"1400")</x:f>
        <x:v>8387332</x:v>
      </x:c>
      <x:c r="N38" s="37" t="n">
        <x:f>SUMIFS('Balance_Sheet_Data'!$E$2:$E$630,'Balance_Sheet_Data'!$A$2:$A$630,N$3,'Balance_Sheet_Data'!$C$2:$C$630,"1400")</x:f>
        <x:v>8373412</x:v>
      </x:c>
      <x:c r="O38" s="37" t="n">
        <x:f>SUMIFS('Balance_Sheet_Data'!$E$2:$E$630,'Balance_Sheet_Data'!$A$2:$A$630,O$3,'Balance_Sheet_Data'!$C$2:$C$630,"1400")</x:f>
        <x:v>8352687</x:v>
      </x:c>
      <x:c r="P38" s="37" t="n">
        <x:f>SUMIFS('Balance_Sheet_Data'!$E$2:$E$630,'Balance_Sheet_Data'!$A$2:$A$630,P$3,'Balance_Sheet_Data'!$C$2:$C$630,"1400")</x:f>
        <x:v>8327713</x:v>
      </x:c>
      <x:c r="Q38" s="37" t="n">
        <x:f>SUMIFS('Balance_Sheet_Data'!$E$2:$E$630,'Balance_Sheet_Data'!$A$2:$A$630,Q$3,'Balance_Sheet_Data'!$C$2:$C$630,"1400")</x:f>
        <x:v>8301240</x:v>
      </x:c>
      <x:c r="R38" s="37" t="n">
        <x:f>SUMIFS('Balance_Sheet_Data'!$E$2:$E$630,'Balance_Sheet_Data'!$A$2:$A$630,R$3,'Balance_Sheet_Data'!$C$2:$C$630,"1400")</x:f>
        <x:v>8275907</x:v>
      </x:c>
      <x:c r="S38" s="37" t="n">
        <x:f>SUMIFS('Balance_Sheet_Data'!$E$2:$E$630,'Balance_Sheet_Data'!$A$2:$A$630,S$3,'Balance_Sheet_Data'!$C$2:$C$630,"1400")</x:f>
        <x:v>8173952</x:v>
      </x:c>
      <x:c r="T38" s="37" t="n">
        <x:f>SUMIFS('Balance_Sheet_Data'!$E$2:$E$630,'Balance_Sheet_Data'!$A$2:$A$630,T$3,'Balance_Sheet_Data'!$C$2:$C$630,"1400")</x:f>
        <x:v>8156967</x:v>
      </x:c>
      <x:c r="U38" s="37" t="n">
        <x:f>SUMIFS('Balance_Sheet_Data'!$E$2:$E$630,'Balance_Sheet_Data'!$A$2:$A$630,U$3,'Balance_Sheet_Data'!$C$2:$C$630,"1400")</x:f>
        <x:v>8145720</x:v>
      </x:c>
      <x:c r="V38" s="37" t="n">
        <x:f>SUMIFS('Balance_Sheet_Data'!$E$2:$E$630,'Balance_Sheet_Data'!$A$2:$A$630,V$3,'Balance_Sheet_Data'!$C$2:$C$630,"1400")</x:f>
        <x:v>8020074</x:v>
      </x:c>
      <x:c r="W38" s="37" t="n">
        <x:f>SUMIFS('Balance_Sheet_Data'!$E$2:$E$630,'Balance_Sheet_Data'!$A$2:$A$630,W$3,'Balance_Sheet_Data'!$C$2:$C$630,"1400")</x:f>
        <x:v>8018999</x:v>
      </x:c>
      <x:c r="X38" s="37" t="n">
        <x:f>SUMIFS('Balance_Sheet_Data'!$E$2:$E$630,'Balance_Sheet_Data'!$A$2:$A$630,X$3,'Balance_Sheet_Data'!$C$2:$C$630,"1400")</x:f>
        <x:v>8020686</x:v>
      </x:c>
      <x:c r="Y38" s="37" t="n">
        <x:f>SUMIFS('Balance_Sheet_Data'!$E$2:$E$630,'Balance_Sheet_Data'!$A$2:$A$630,Y$3,'Balance_Sheet_Data'!$C$2:$C$630,"1400")</x:f>
        <x:v>8022749</x:v>
      </x:c>
      <x:c r="Z38" s="37" t="n">
        <x:f>SUMIFS('Balance_Sheet_Data'!$E$2:$E$630,'Balance_Sheet_Data'!$A$2:$A$630,Z$3,'Balance_Sheet_Data'!$C$2:$C$630,"1400")</x:f>
        <x:v>8022483</x:v>
      </x:c>
      <x:c r="AA38" s="37" t="n">
        <x:f>SUMIFS('Balance_Sheet_Data'!$E$2:$E$630,'Balance_Sheet_Data'!$A$2:$A$630,AA$3,'Balance_Sheet_Data'!$C$2:$C$630,"1400")</x:f>
        <x:v>8017165</x:v>
      </x:c>
      <x:c r="AB38" s="37" t="n">
        <x:f>SUMIFS('Balance_Sheet_Data'!$E$2:$E$630,'Balance_Sheet_Data'!$A$2:$A$630,AB$3,'Balance_Sheet_Data'!$C$2:$C$630,"1400")</x:f>
        <x:v>8004354</x:v>
      </x:c>
      <x:c r="AC38" s="37" t="n">
        <x:f>SUMIFS('Balance_Sheet_Data'!$E$2:$E$630,'Balance_Sheet_Data'!$A$2:$A$630,AC$3,'Balance_Sheet_Data'!$C$2:$C$630,"1400")</x:f>
        <x:v>7982157</x:v>
      </x:c>
      <x:c r="AD38" s="37" t="n">
        <x:f>SUMIFS('Balance_Sheet_Data'!$E$2:$E$630,'Balance_Sheet_Data'!$A$2:$A$630,AD$3,'Balance_Sheet_Data'!$C$2:$C$630,"1400")</x:f>
        <x:v>7949440</x:v>
      </x:c>
      <x:c r="AE38" s="37" t="n">
        <x:f>SUMIFS('Balance_Sheet_Data'!$E$2:$E$630,'Balance_Sheet_Data'!$A$2:$A$630,AE$3,'Balance_Sheet_Data'!$C$2:$C$630,"1400")</x:f>
        <x:v>7905952</x:v>
      </x:c>
      <x:c r="AF38" s="37" t="n">
        <x:f>SUMIFS('Balance_Sheet_Data'!$E$2:$E$630,'Balance_Sheet_Data'!$A$2:$A$630,AF$3,'Balance_Sheet_Data'!$C$2:$C$630,"1400")</x:f>
        <x:v>7852351</x:v>
      </x:c>
      <x:c r="AG38" s="37" t="n">
        <x:f>SUMIFS('Balance_Sheet_Data'!$E$2:$E$630,'Balance_Sheet_Data'!$A$2:$A$630,AG$3,'Balance_Sheet_Data'!$C$2:$C$630,"1400")</x:f>
        <x:v>7790136</x:v>
      </x:c>
      <x:c r="AH38" s="37" t="n">
        <x:f>SUMIFS('Balance_Sheet_Data'!$E$2:$E$630,'Balance_Sheet_Data'!$A$2:$A$630,AH$3,'Balance_Sheet_Data'!$C$2:$C$630,"1400")</x:f>
        <x:v>8241476</x:v>
      </x:c>
      <x:c r="AI38" s="37" t="n">
        <x:f>SUMIFS('Balance_Sheet_Data'!$E$2:$E$630,'Balance_Sheet_Data'!$A$2:$A$630,AI$3,'Balance_Sheet_Data'!$C$2:$C$630,"1400")</x:f>
        <x:v>8168976</x:v>
      </x:c>
      <x:c r="AJ38" s="37" t="n">
        <x:f>SUMIFS('Balance_Sheet_Data'!$E$2:$E$630,'Balance_Sheet_Data'!$A$2:$A$630,AJ$3,'Balance_Sheet_Data'!$C$2:$C$630,"1400")</x:f>
        <x:v>8095389</x:v>
      </x:c>
      <x:c r="AK38" s="37" t="n">
        <x:f>SUMIFS('Balance_Sheet_Data'!$E$2:$E$630,'Balance_Sheet_Data'!$A$2:$A$630,AK$3,'Balance_Sheet_Data'!$C$2:$C$630,"1400")</x:f>
        <x:v>8023310</x:v>
      </x:c>
    </x:row>
    <x:row r="39">
      <x:c r="A39" s="36" t="str">
        <x:v>Activos intangibles netos</x:v>
      </x:c>
      <x:c r="B39" s="37" t="n">
        <x:f>SUMIFS('Balance_Sheet_Data'!$E$2:$E$630,'Balance_Sheet_Data'!$A$2:$A$630,B$3,'Balance_Sheet_Data'!$C$2:$C$630,"1500")</x:f>
        <x:v>1193000</x:v>
      </x:c>
      <x:c r="C39" s="37" t="n">
        <x:f>SUMIFS('Balance_Sheet_Data'!$E$2:$E$630,'Balance_Sheet_Data'!$A$2:$A$630,C$3,'Balance_Sheet_Data'!$C$2:$C$630,"1500")</x:f>
        <x:v>1185650</x:v>
      </x:c>
      <x:c r="D39" s="37" t="n">
        <x:f>SUMIFS('Balance_Sheet_Data'!$E$2:$E$630,'Balance_Sheet_Data'!$A$2:$A$630,D$3,'Balance_Sheet_Data'!$C$2:$C$630,"1500")</x:f>
        <x:v>1207950</x:v>
      </x:c>
      <x:c r="E39" s="37" t="n">
        <x:f>SUMIFS('Balance_Sheet_Data'!$E$2:$E$630,'Balance_Sheet_Data'!$A$2:$A$630,E$3,'Balance_Sheet_Data'!$C$2:$C$630,"1500")</x:f>
        <x:v>1199900</x:v>
      </x:c>
      <x:c r="F39" s="37" t="n">
        <x:f>SUMIFS('Balance_Sheet_Data'!$E$2:$E$630,'Balance_Sheet_Data'!$A$2:$A$630,F$3,'Balance_Sheet_Data'!$C$2:$C$630,"1500")</x:f>
        <x:v>1191500</x:v>
      </x:c>
      <x:c r="G39" s="37" t="n">
        <x:f>SUMIFS('Balance_Sheet_Data'!$E$2:$E$630,'Balance_Sheet_Data'!$A$2:$A$630,G$3,'Balance_Sheet_Data'!$C$2:$C$630,"1500")</x:f>
        <x:v>1212750</x:v>
      </x:c>
      <x:c r="H39" s="37" t="n">
        <x:f>SUMIFS('Balance_Sheet_Data'!$E$2:$E$630,'Balance_Sheet_Data'!$A$2:$A$630,H$3,'Balance_Sheet_Data'!$C$2:$C$630,"1500")</x:f>
        <x:v>1203650</x:v>
      </x:c>
      <x:c r="I39" s="37" t="n">
        <x:f>SUMIFS('Balance_Sheet_Data'!$E$2:$E$630,'Balance_Sheet_Data'!$A$2:$A$630,I$3,'Balance_Sheet_Data'!$C$2:$C$630,"1500")</x:f>
        <x:v>1194200</x:v>
      </x:c>
      <x:c r="J39" s="37" t="n">
        <x:f>SUMIFS('Balance_Sheet_Data'!$E$2:$E$630,'Balance_Sheet_Data'!$A$2:$A$630,J$3,'Balance_Sheet_Data'!$C$2:$C$630,"1500")</x:f>
        <x:v>1214400</x:v>
      </x:c>
      <x:c r="K39" s="37" t="n">
        <x:f>SUMIFS('Balance_Sheet_Data'!$E$2:$E$630,'Balance_Sheet_Data'!$A$2:$A$630,K$3,'Balance_Sheet_Data'!$C$2:$C$630,"1500")</x:f>
        <x:v>1204250</x:v>
      </x:c>
      <x:c r="L39" s="37" t="n">
        <x:f>SUMIFS('Balance_Sheet_Data'!$E$2:$E$630,'Balance_Sheet_Data'!$A$2:$A$630,L$3,'Balance_Sheet_Data'!$C$2:$C$630,"1500")</x:f>
        <x:v>1193750</x:v>
      </x:c>
      <x:c r="M39" s="37" t="n">
        <x:f>SUMIFS('Balance_Sheet_Data'!$E$2:$E$630,'Balance_Sheet_Data'!$A$2:$A$630,M$3,'Balance_Sheet_Data'!$C$2:$C$630,"1500")</x:f>
        <x:v>1212900</x:v>
      </x:c>
      <x:c r="N39" s="37" t="n">
        <x:f>SUMIFS('Balance_Sheet_Data'!$E$2:$E$630,'Balance_Sheet_Data'!$A$2:$A$630,N$3,'Balance_Sheet_Data'!$C$2:$C$630,"1500")</x:f>
        <x:v>1201700</x:v>
      </x:c>
      <x:c r="O39" s="37" t="n">
        <x:f>SUMIFS('Balance_Sheet_Data'!$E$2:$E$630,'Balance_Sheet_Data'!$A$2:$A$630,O$3,'Balance_Sheet_Data'!$C$2:$C$630,"1500")</x:f>
        <x:v>1190150</x:v>
      </x:c>
      <x:c r="P39" s="37" t="n">
        <x:f>SUMIFS('Balance_Sheet_Data'!$E$2:$E$630,'Balance_Sheet_Data'!$A$2:$A$630,P$3,'Balance_Sheet_Data'!$C$2:$C$630,"1500")</x:f>
        <x:v>1208250</x:v>
      </x:c>
      <x:c r="Q39" s="37" t="n">
        <x:f>SUMIFS('Balance_Sheet_Data'!$E$2:$E$630,'Balance_Sheet_Data'!$A$2:$A$630,Q$3,'Balance_Sheet_Data'!$C$2:$C$630,"1500")</x:f>
        <x:v>1196000</x:v>
      </x:c>
      <x:c r="R39" s="37" t="n">
        <x:f>SUMIFS('Balance_Sheet_Data'!$E$2:$E$630,'Balance_Sheet_Data'!$A$2:$A$630,R$3,'Balance_Sheet_Data'!$C$2:$C$630,"1500")</x:f>
        <x:v>1183400</x:v>
      </x:c>
      <x:c r="S39" s="37" t="n">
        <x:f>SUMIFS('Balance_Sheet_Data'!$E$2:$E$630,'Balance_Sheet_Data'!$A$2:$A$630,S$3,'Balance_Sheet_Data'!$C$2:$C$630,"1500")</x:f>
        <x:v>1200450</x:v>
      </x:c>
      <x:c r="T39" s="37" t="n">
        <x:f>SUMIFS('Balance_Sheet_Data'!$E$2:$E$630,'Balance_Sheet_Data'!$A$2:$A$630,T$3,'Balance_Sheet_Data'!$C$2:$C$630,"1500")</x:f>
        <x:v>1187150</x:v>
      </x:c>
      <x:c r="U39" s="37" t="n">
        <x:f>SUMIFS('Balance_Sheet_Data'!$E$2:$E$630,'Balance_Sheet_Data'!$A$2:$A$630,U$3,'Balance_Sheet_Data'!$C$2:$C$630,"1500")</x:f>
        <x:v>1173500</x:v>
      </x:c>
      <x:c r="V39" s="37" t="n">
        <x:f>SUMIFS('Balance_Sheet_Data'!$E$2:$E$630,'Balance_Sheet_Data'!$A$2:$A$630,V$3,'Balance_Sheet_Data'!$C$2:$C$630,"1500")</x:f>
        <x:v>1189500</x:v>
      </x:c>
      <x:c r="W39" s="37" t="n">
        <x:f>SUMIFS('Balance_Sheet_Data'!$E$2:$E$630,'Balance_Sheet_Data'!$A$2:$A$630,W$3,'Balance_Sheet_Data'!$C$2:$C$630,"1500")</x:f>
        <x:v>1175150</x:v>
      </x:c>
      <x:c r="X39" s="37" t="n">
        <x:f>SUMIFS('Balance_Sheet_Data'!$E$2:$E$630,'Balance_Sheet_Data'!$A$2:$A$630,X$3,'Balance_Sheet_Data'!$C$2:$C$630,"1500")</x:f>
        <x:v>1160450</x:v>
      </x:c>
      <x:c r="Y39" s="37" t="n">
        <x:f>SUMIFS('Balance_Sheet_Data'!$E$2:$E$630,'Balance_Sheet_Data'!$A$2:$A$630,Y$3,'Balance_Sheet_Data'!$C$2:$C$630,"1500")</x:f>
        <x:v>1175400</x:v>
      </x:c>
      <x:c r="Z39" s="37" t="n">
        <x:f>SUMIFS('Balance_Sheet_Data'!$E$2:$E$630,'Balance_Sheet_Data'!$A$2:$A$630,Z$3,'Balance_Sheet_Data'!$C$2:$C$630,"1500")</x:f>
        <x:v>1160000</x:v>
      </x:c>
      <x:c r="AA39" s="37" t="n">
        <x:f>SUMIFS('Balance_Sheet_Data'!$E$2:$E$630,'Balance_Sheet_Data'!$A$2:$A$630,AA$3,'Balance_Sheet_Data'!$C$2:$C$630,"1500")</x:f>
        <x:v>1144250</x:v>
      </x:c>
      <x:c r="AB39" s="37" t="n">
        <x:f>SUMIFS('Balance_Sheet_Data'!$E$2:$E$630,'Balance_Sheet_Data'!$A$2:$A$630,AB$3,'Balance_Sheet_Data'!$C$2:$C$630,"1500")</x:f>
        <x:v>1158150</x:v>
      </x:c>
      <x:c r="AC39" s="37" t="n">
        <x:f>SUMIFS('Balance_Sheet_Data'!$E$2:$E$630,'Balance_Sheet_Data'!$A$2:$A$630,AC$3,'Balance_Sheet_Data'!$C$2:$C$630,"1500")</x:f>
        <x:v>1141700</x:v>
      </x:c>
      <x:c r="AD39" s="37" t="n">
        <x:f>SUMIFS('Balance_Sheet_Data'!$E$2:$E$630,'Balance_Sheet_Data'!$A$2:$A$630,AD$3,'Balance_Sheet_Data'!$C$2:$C$630,"1500")</x:f>
        <x:v>1124900</x:v>
      </x:c>
      <x:c r="AE39" s="37" t="n">
        <x:f>SUMIFS('Balance_Sheet_Data'!$E$2:$E$630,'Balance_Sheet_Data'!$A$2:$A$630,AE$3,'Balance_Sheet_Data'!$C$2:$C$630,"1500")</x:f>
        <x:v>1137750</x:v>
      </x:c>
      <x:c r="AF39" s="37" t="n">
        <x:f>SUMIFS('Balance_Sheet_Data'!$E$2:$E$630,'Balance_Sheet_Data'!$A$2:$A$630,AF$3,'Balance_Sheet_Data'!$C$2:$C$630,"1500")</x:f>
        <x:v>1120250</x:v>
      </x:c>
      <x:c r="AG39" s="37" t="n">
        <x:f>SUMIFS('Balance_Sheet_Data'!$E$2:$E$630,'Balance_Sheet_Data'!$A$2:$A$630,AG$3,'Balance_Sheet_Data'!$C$2:$C$630,"1500")</x:f>
        <x:v>1102400</x:v>
      </x:c>
      <x:c r="AH39" s="37" t="n">
        <x:f>SUMIFS('Balance_Sheet_Data'!$E$2:$E$630,'Balance_Sheet_Data'!$A$2:$A$630,AH$3,'Balance_Sheet_Data'!$C$2:$C$630,"1500")</x:f>
        <x:v>1114200</x:v>
      </x:c>
      <x:c r="AI39" s="37" t="n">
        <x:f>SUMIFS('Balance_Sheet_Data'!$E$2:$E$630,'Balance_Sheet_Data'!$A$2:$A$630,AI$3,'Balance_Sheet_Data'!$C$2:$C$630,"1500")</x:f>
        <x:v>1095650</x:v>
      </x:c>
      <x:c r="AJ39" s="37" t="n">
        <x:f>SUMIFS('Balance_Sheet_Data'!$E$2:$E$630,'Balance_Sheet_Data'!$A$2:$A$630,AJ$3,'Balance_Sheet_Data'!$C$2:$C$630,"1500")</x:f>
        <x:v>1076750</x:v>
      </x:c>
      <x:c r="AK39" s="37" t="n">
        <x:f>SUMIFS('Balance_Sheet_Data'!$E$2:$E$630,'Balance_Sheet_Data'!$A$2:$A$630,AK$3,'Balance_Sheet_Data'!$C$2:$C$630,"1500")</x:f>
        <x:v>1087500</x:v>
      </x:c>
    </x:row>
    <x:row r="40">
      <x:c r="A40" s="36" t="str">
        <x:v>Otros activos no corrientes</x:v>
      </x:c>
      <x:c r="B40" s="37" t="n">
        <x:f>SUMIFS('Balance_Sheet_Data'!$E$2:$E$630,'Balance_Sheet_Data'!$A$2:$A$630,B$3,'Balance_Sheet_Data'!$C$2:$C$630,"1600")</x:f>
        <x:v>800000</x:v>
      </x:c>
      <x:c r="C40" s="37" t="n">
        <x:f>SUMIFS('Balance_Sheet_Data'!$E$2:$E$630,'Balance_Sheet_Data'!$A$2:$A$630,C$3,'Balance_Sheet_Data'!$C$2:$C$630,"1600")</x:f>
        <x:v>800000</x:v>
      </x:c>
      <x:c r="D40" s="37" t="n">
        <x:f>SUMIFS('Balance_Sheet_Data'!$E$2:$E$630,'Balance_Sheet_Data'!$A$2:$A$630,D$3,'Balance_Sheet_Data'!$C$2:$C$630,"1600")</x:f>
        <x:v>800000</x:v>
      </x:c>
      <x:c r="E40" s="37" t="n">
        <x:f>SUMIFS('Balance_Sheet_Data'!$E$2:$E$630,'Balance_Sheet_Data'!$A$2:$A$630,E$3,'Balance_Sheet_Data'!$C$2:$C$630,"1600")</x:f>
        <x:v>800000</x:v>
      </x:c>
      <x:c r="F40" s="37" t="n">
        <x:f>SUMIFS('Balance_Sheet_Data'!$E$2:$E$630,'Balance_Sheet_Data'!$A$2:$A$630,F$3,'Balance_Sheet_Data'!$C$2:$C$630,"1600")</x:f>
        <x:v>800000</x:v>
      </x:c>
      <x:c r="G40" s="37" t="n">
        <x:f>SUMIFS('Balance_Sheet_Data'!$E$2:$E$630,'Balance_Sheet_Data'!$A$2:$A$630,G$3,'Balance_Sheet_Data'!$C$2:$C$630,"1600")</x:f>
        <x:v>800000</x:v>
      </x:c>
      <x:c r="H40" s="37" t="n">
        <x:f>SUMIFS('Balance_Sheet_Data'!$E$2:$E$630,'Balance_Sheet_Data'!$A$2:$A$630,H$3,'Balance_Sheet_Data'!$C$2:$C$630,"1600")</x:f>
        <x:v>800000</x:v>
      </x:c>
      <x:c r="I40" s="37" t="n">
        <x:f>SUMIFS('Balance_Sheet_Data'!$E$2:$E$630,'Balance_Sheet_Data'!$A$2:$A$630,I$3,'Balance_Sheet_Data'!$C$2:$C$630,"1600")</x:f>
        <x:v>800000</x:v>
      </x:c>
      <x:c r="J40" s="37" t="n">
        <x:f>SUMIFS('Balance_Sheet_Data'!$E$2:$E$630,'Balance_Sheet_Data'!$A$2:$A$630,J$3,'Balance_Sheet_Data'!$C$2:$C$630,"1600")</x:f>
        <x:v>800000</x:v>
      </x:c>
      <x:c r="K40" s="37" t="n">
        <x:f>SUMIFS('Balance_Sheet_Data'!$E$2:$E$630,'Balance_Sheet_Data'!$A$2:$A$630,K$3,'Balance_Sheet_Data'!$C$2:$C$630,"1600")</x:f>
        <x:v>800000</x:v>
      </x:c>
      <x:c r="L40" s="37" t="n">
        <x:f>SUMIFS('Balance_Sheet_Data'!$E$2:$E$630,'Balance_Sheet_Data'!$A$2:$A$630,L$3,'Balance_Sheet_Data'!$C$2:$C$630,"1600")</x:f>
        <x:v>800000</x:v>
      </x:c>
      <x:c r="M40" s="37" t="n">
        <x:f>SUMIFS('Balance_Sheet_Data'!$E$2:$E$630,'Balance_Sheet_Data'!$A$2:$A$630,M$3,'Balance_Sheet_Data'!$C$2:$C$630,"1600")</x:f>
        <x:v>800000</x:v>
      </x:c>
      <x:c r="N40" s="37" t="n">
        <x:f>SUMIFS('Balance_Sheet_Data'!$E$2:$E$630,'Balance_Sheet_Data'!$A$2:$A$630,N$3,'Balance_Sheet_Data'!$C$2:$C$630,"1600")</x:f>
        <x:v>800000</x:v>
      </x:c>
      <x:c r="O40" s="37" t="n">
        <x:f>SUMIFS('Balance_Sheet_Data'!$E$2:$E$630,'Balance_Sheet_Data'!$A$2:$A$630,O$3,'Balance_Sheet_Data'!$C$2:$C$630,"1600")</x:f>
        <x:v>800000</x:v>
      </x:c>
      <x:c r="P40" s="37" t="n">
        <x:f>SUMIFS('Balance_Sheet_Data'!$E$2:$E$630,'Balance_Sheet_Data'!$A$2:$A$630,P$3,'Balance_Sheet_Data'!$C$2:$C$630,"1600")</x:f>
        <x:v>800000</x:v>
      </x:c>
      <x:c r="Q40" s="37" t="n">
        <x:f>SUMIFS('Balance_Sheet_Data'!$E$2:$E$630,'Balance_Sheet_Data'!$A$2:$A$630,Q$3,'Balance_Sheet_Data'!$C$2:$C$630,"1600")</x:f>
        <x:v>800000</x:v>
      </x:c>
      <x:c r="R40" s="37" t="n">
        <x:f>SUMIFS('Balance_Sheet_Data'!$E$2:$E$630,'Balance_Sheet_Data'!$A$2:$A$630,R$3,'Balance_Sheet_Data'!$C$2:$C$630,"1600")</x:f>
        <x:v>800000</x:v>
      </x:c>
      <x:c r="S40" s="37" t="n">
        <x:f>SUMIFS('Balance_Sheet_Data'!$E$2:$E$630,'Balance_Sheet_Data'!$A$2:$A$630,S$3,'Balance_Sheet_Data'!$C$2:$C$630,"1600")</x:f>
        <x:v>800000</x:v>
      </x:c>
      <x:c r="T40" s="37" t="n">
        <x:f>SUMIFS('Balance_Sheet_Data'!$E$2:$E$630,'Balance_Sheet_Data'!$A$2:$A$630,T$3,'Balance_Sheet_Data'!$C$2:$C$630,"1600")</x:f>
        <x:v>800000</x:v>
      </x:c>
      <x:c r="U40" s="37" t="n">
        <x:f>SUMIFS('Balance_Sheet_Data'!$E$2:$E$630,'Balance_Sheet_Data'!$A$2:$A$630,U$3,'Balance_Sheet_Data'!$C$2:$C$630,"1600")</x:f>
        <x:v>800000</x:v>
      </x:c>
      <x:c r="V40" s="37" t="n">
        <x:f>SUMIFS('Balance_Sheet_Data'!$E$2:$E$630,'Balance_Sheet_Data'!$A$2:$A$630,V$3,'Balance_Sheet_Data'!$C$2:$C$630,"1600")</x:f>
        <x:v>800000</x:v>
      </x:c>
      <x:c r="W40" s="37" t="n">
        <x:f>SUMIFS('Balance_Sheet_Data'!$E$2:$E$630,'Balance_Sheet_Data'!$A$2:$A$630,W$3,'Balance_Sheet_Data'!$C$2:$C$630,"1600")</x:f>
        <x:v>800000</x:v>
      </x:c>
      <x:c r="X40" s="37" t="n">
        <x:f>SUMIFS('Balance_Sheet_Data'!$E$2:$E$630,'Balance_Sheet_Data'!$A$2:$A$630,X$3,'Balance_Sheet_Data'!$C$2:$C$630,"1600")</x:f>
        <x:v>800000</x:v>
      </x:c>
      <x:c r="Y40" s="37" t="n">
        <x:f>SUMIFS('Balance_Sheet_Data'!$E$2:$E$630,'Balance_Sheet_Data'!$A$2:$A$630,Y$3,'Balance_Sheet_Data'!$C$2:$C$630,"1600")</x:f>
        <x:v>800000</x:v>
      </x:c>
      <x:c r="Z40" s="37" t="n">
        <x:f>SUMIFS('Balance_Sheet_Data'!$E$2:$E$630,'Balance_Sheet_Data'!$A$2:$A$630,Z$3,'Balance_Sheet_Data'!$C$2:$C$630,"1600")</x:f>
        <x:v>800000</x:v>
      </x:c>
      <x:c r="AA40" s="37" t="n">
        <x:f>SUMIFS('Balance_Sheet_Data'!$E$2:$E$630,'Balance_Sheet_Data'!$A$2:$A$630,AA$3,'Balance_Sheet_Data'!$C$2:$C$630,"1600")</x:f>
        <x:v>800000</x:v>
      </x:c>
      <x:c r="AB40" s="37" t="n">
        <x:f>SUMIFS('Balance_Sheet_Data'!$E$2:$E$630,'Balance_Sheet_Data'!$A$2:$A$630,AB$3,'Balance_Sheet_Data'!$C$2:$C$630,"1600")</x:f>
        <x:v>800000</x:v>
      </x:c>
      <x:c r="AC40" s="37" t="n">
        <x:f>SUMIFS('Balance_Sheet_Data'!$E$2:$E$630,'Balance_Sheet_Data'!$A$2:$A$630,AC$3,'Balance_Sheet_Data'!$C$2:$C$630,"1600")</x:f>
        <x:v>800000</x:v>
      </x:c>
      <x:c r="AD40" s="37" t="n">
        <x:f>SUMIFS('Balance_Sheet_Data'!$E$2:$E$630,'Balance_Sheet_Data'!$A$2:$A$630,AD$3,'Balance_Sheet_Data'!$C$2:$C$630,"1600")</x:f>
        <x:v>800000</x:v>
      </x:c>
      <x:c r="AE40" s="37" t="n">
        <x:f>SUMIFS('Balance_Sheet_Data'!$E$2:$E$630,'Balance_Sheet_Data'!$A$2:$A$630,AE$3,'Balance_Sheet_Data'!$C$2:$C$630,"1600")</x:f>
        <x:v>800000</x:v>
      </x:c>
      <x:c r="AF40" s="37" t="n">
        <x:f>SUMIFS('Balance_Sheet_Data'!$E$2:$E$630,'Balance_Sheet_Data'!$A$2:$A$630,AF$3,'Balance_Sheet_Data'!$C$2:$C$630,"1600")</x:f>
        <x:v>800000</x:v>
      </x:c>
      <x:c r="AG40" s="37" t="n">
        <x:f>SUMIFS('Balance_Sheet_Data'!$E$2:$E$630,'Balance_Sheet_Data'!$A$2:$A$630,AG$3,'Balance_Sheet_Data'!$C$2:$C$630,"1600")</x:f>
        <x:v>800000</x:v>
      </x:c>
      <x:c r="AH40" s="37" t="n">
        <x:f>SUMIFS('Balance_Sheet_Data'!$E$2:$E$630,'Balance_Sheet_Data'!$A$2:$A$630,AH$3,'Balance_Sheet_Data'!$C$2:$C$630,"1600")</x:f>
        <x:v>800000</x:v>
      </x:c>
      <x:c r="AI40" s="37" t="n">
        <x:f>SUMIFS('Balance_Sheet_Data'!$E$2:$E$630,'Balance_Sheet_Data'!$A$2:$A$630,AI$3,'Balance_Sheet_Data'!$C$2:$C$630,"1600")</x:f>
        <x:v>800000</x:v>
      </x:c>
      <x:c r="AJ40" s="37" t="n">
        <x:f>SUMIFS('Balance_Sheet_Data'!$E$2:$E$630,'Balance_Sheet_Data'!$A$2:$A$630,AJ$3,'Balance_Sheet_Data'!$C$2:$C$630,"1600")</x:f>
        <x:v>800000</x:v>
      </x:c>
      <x:c r="AK40" s="37" t="n">
        <x:f>SUMIFS('Balance_Sheet_Data'!$E$2:$E$630,'Balance_Sheet_Data'!$A$2:$A$630,AK$3,'Balance_Sheet_Data'!$C$2:$C$630,"1600")</x:f>
        <x:v>800000</x:v>
      </x:c>
    </x:row>
    <x:row r="41">
      <x:c r="A41" s="42" t="str">
        <x:v>TOTAL ACTIVO</x:v>
      </x:c>
      <x:c r="B41" s="43" t="n">
        <x:f>SUM(B37:B40)</x:f>
        <x:v>20602936</x:v>
      </x:c>
      <x:c r="C41" s="43" t="n">
        <x:f>SUM(C37:C40)</x:f>
        <x:v>21139662</x:v>
      </x:c>
      <x:c r="D41" s="43" t="n">
        <x:f>SUM(D37:D40)</x:f>
        <x:v>21371901</x:v>
      </x:c>
      <x:c r="E41" s="43" t="n">
        <x:f>SUM(E37:E40)</x:f>
        <x:v>21647769</x:v>
      </x:c>
      <x:c r="F41" s="43" t="n">
        <x:f>SUM(F37:F40)</x:f>
        <x:v>21987283</x:v>
      </x:c>
      <x:c r="G41" s="43" t="n">
        <x:f>SUM(G37:G40)</x:f>
        <x:v>22329999</x:v>
      </x:c>
      <x:c r="H41" s="43" t="n">
        <x:f>SUM(H37:H40)</x:f>
        <x:v>22195432</x:v>
      </x:c>
      <x:c r="I41" s="43" t="n">
        <x:f>SUM(I37:I40)</x:f>
        <x:v>22221750</x:v>
      </x:c>
      <x:c r="J41" s="43" t="n">
        <x:f>SUM(J37:J40)</x:f>
        <x:v>23025168</x:v>
      </x:c>
      <x:c r="K41" s="43" t="n">
        <x:f>SUM(K37:K40)</x:f>
        <x:v>23337326</x:v>
      </x:c>
      <x:c r="L41" s="43" t="n">
        <x:f>SUM(L37:L40)</x:f>
        <x:v>23930426</x:v>
      </x:c>
      <x:c r="M41" s="43" t="n">
        <x:f>SUM(M37:M40)</x:f>
        <x:v>24217172</x:v>
      </x:c>
      <x:c r="N41" s="43" t="n">
        <x:f>SUM(N37:N40)</x:f>
        <x:v>23159283</x:v>
      </x:c>
      <x:c r="O41" s="43" t="n">
        <x:f>SUM(O37:O40)</x:f>
        <x:v>23820720</x:v>
      </x:c>
      <x:c r="P41" s="43" t="n">
        <x:f>SUM(P37:P40)</x:f>
        <x:v>23928649</x:v>
      </x:c>
      <x:c r="Q41" s="43" t="n">
        <x:f>SUM(Q37:Q40)</x:f>
        <x:v>23571431</x:v>
      </x:c>
      <x:c r="R41" s="43" t="n">
        <x:f>SUM(R37:R40)</x:f>
        <x:v>24912217</x:v>
      </x:c>
      <x:c r="S41" s="43" t="n">
        <x:f>SUM(S37:S40)</x:f>
        <x:v>25050431</x:v>
      </x:c>
      <x:c r="T41" s="43" t="n">
        <x:f>SUM(T37:T40)</x:f>
        <x:v>25132074</x:v>
      </x:c>
      <x:c r="U41" s="43" t="n">
        <x:f>SUM(U37:U40)</x:f>
        <x:v>25072792</x:v>
      </x:c>
      <x:c r="V41" s="43" t="n">
        <x:f>SUM(V37:V40)</x:f>
        <x:v>26247590</x:v>
      </x:c>
      <x:c r="W41" s="43" t="n">
        <x:f>SUM(W37:W40)</x:f>
        <x:v>26524374</x:v>
      </x:c>
      <x:c r="X41" s="43" t="n">
        <x:f>SUM(X37:X40)</x:f>
        <x:v>27097420</x:v>
      </x:c>
      <x:c r="Y41" s="43" t="n">
        <x:f>SUM(Y37:Y40)</x:f>
        <x:v>27319735</x:v>
      </x:c>
      <x:c r="Z41" s="43" t="n">
        <x:f>SUM(Z37:Z40)</x:f>
        <x:v>26208858</x:v>
      </x:c>
      <x:c r="AA41" s="43" t="n">
        <x:f>SUM(AA37:AA40)</x:f>
        <x:v>26850133</x:v>
      </x:c>
      <x:c r="AB41" s="43" t="n">
        <x:f>SUM(AB37:AB40)</x:f>
        <x:v>27316538</x:v>
      </x:c>
      <x:c r="AC41" s="43" t="n">
        <x:f>SUM(AC37:AC40)</x:f>
        <x:v>27555918</x:v>
      </x:c>
      <x:c r="AD41" s="43" t="n">
        <x:f>SUM(AD37:AD40)</x:f>
        <x:v>27930921</x:v>
      </x:c>
      <x:c r="AE41" s="43" t="n">
        <x:f>SUM(AE37:AE40)</x:f>
        <x:v>28333097</x:v>
      </x:c>
      <x:c r="AF41" s="43" t="n">
        <x:f>SUM(AF37:AF40)</x:f>
        <x:v>28171041</x:v>
      </x:c>
      <x:c r="AG41" s="43" t="n">
        <x:f>SUM(AG37:AG40)</x:f>
        <x:v>28200076</x:v>
      </x:c>
      <x:c r="AH41" s="43" t="n">
        <x:f>SUM(AH37:AH40)</x:f>
        <x:v>29153418</x:v>
      </x:c>
      <x:c r="AI41" s="43" t="n">
        <x:f>SUM(AI37:AI40)</x:f>
        <x:v>29532378</x:v>
      </x:c>
      <x:c r="AJ41" s="43" t="n">
        <x:f>SUM(AJ37:AJ40)</x:f>
        <x:v>30243341</x:v>
      </x:c>
      <x:c r="AK41" s="43" t="n">
        <x:f>SUM(AK37:AK40)</x:f>
        <x:v>30307170</x:v>
      </x:c>
    </x:row>
    <x:row r="42">
      <x:c r="A42" s="36" t="str">
        <x:v>Proveedores</x:v>
      </x:c>
      <x:c r="B42" s="37" t="n">
        <x:f>SUMIFS('Balance_Sheet_Data'!$E$2:$E$630,'Balance_Sheet_Data'!$A$2:$A$630,B$3,'Balance_Sheet_Data'!$C$2:$C$630,"2000")</x:f>
        <x:v>2534226</x:v>
      </x:c>
      <x:c r="C42" s="37" t="n">
        <x:f>SUMIFS('Balance_Sheet_Data'!$E$2:$E$630,'Balance_Sheet_Data'!$A$2:$A$630,C$3,'Balance_Sheet_Data'!$C$2:$C$630,"2000")</x:f>
        <x:v>2834782</x:v>
      </x:c>
      <x:c r="D42" s="37" t="n">
        <x:f>SUMIFS('Balance_Sheet_Data'!$E$2:$E$630,'Balance_Sheet_Data'!$A$2:$A$630,D$3,'Balance_Sheet_Data'!$C$2:$C$630,"2000")</x:f>
        <x:v>2886892</x:v>
      </x:c>
      <x:c r="E42" s="37" t="n">
        <x:f>SUMIFS('Balance_Sheet_Data'!$E$2:$E$630,'Balance_Sheet_Data'!$A$2:$A$630,E$3,'Balance_Sheet_Data'!$C$2:$C$630,"2000")</x:f>
        <x:v>2958467</x:v>
      </x:c>
      <x:c r="F42" s="37" t="n">
        <x:f>SUMIFS('Balance_Sheet_Data'!$E$2:$E$630,'Balance_Sheet_Data'!$A$2:$A$630,F$3,'Balance_Sheet_Data'!$C$2:$C$630,"2000")</x:f>
        <x:v>3013801</x:v>
      </x:c>
      <x:c r="G42" s="37" t="n">
        <x:f>SUMIFS('Balance_Sheet_Data'!$E$2:$E$630,'Balance_Sheet_Data'!$A$2:$A$630,G$3,'Balance_Sheet_Data'!$C$2:$C$630,"2000")</x:f>
        <x:v>3209115</x:v>
      </x:c>
      <x:c r="H42" s="37" t="n">
        <x:f>SUMIFS('Balance_Sheet_Data'!$E$2:$E$630,'Balance_Sheet_Data'!$A$2:$A$630,H$3,'Balance_Sheet_Data'!$C$2:$C$630,"2000")</x:f>
        <x:v>2924904</x:v>
      </x:c>
      <x:c r="I42" s="37" t="n">
        <x:f>SUMIFS('Balance_Sheet_Data'!$E$2:$E$630,'Balance_Sheet_Data'!$A$2:$A$630,I$3,'Balance_Sheet_Data'!$C$2:$C$630,"2000")</x:f>
        <x:v>2798619</x:v>
      </x:c>
      <x:c r="J42" s="37" t="n">
        <x:f>SUMIFS('Balance_Sheet_Data'!$E$2:$E$630,'Balance_Sheet_Data'!$A$2:$A$630,J$3,'Balance_Sheet_Data'!$C$2:$C$630,"2000")</x:f>
        <x:v>3326275</x:v>
      </x:c>
      <x:c r="K42" s="37" t="n">
        <x:f>SUMIFS('Balance_Sheet_Data'!$E$2:$E$630,'Balance_Sheet_Data'!$A$2:$A$630,K$3,'Balance_Sheet_Data'!$C$2:$C$630,"2000")</x:f>
        <x:v>3333179</x:v>
      </x:c>
      <x:c r="L42" s="37" t="n">
        <x:f>SUMIFS('Balance_Sheet_Data'!$E$2:$E$630,'Balance_Sheet_Data'!$A$2:$A$630,L$3,'Balance_Sheet_Data'!$C$2:$C$630,"2000")</x:f>
        <x:v>3591896</x:v>
      </x:c>
      <x:c r="M42" s="37" t="n">
        <x:f>SUMIFS('Balance_Sheet_Data'!$E$2:$E$630,'Balance_Sheet_Data'!$A$2:$A$630,M$3,'Balance_Sheet_Data'!$C$2:$C$630,"2000")</x:f>
        <x:v>3741121</x:v>
      </x:c>
      <x:c r="N42" s="37" t="n">
        <x:f>SUMIFS('Balance_Sheet_Data'!$E$2:$E$630,'Balance_Sheet_Data'!$A$2:$A$630,N$3,'Balance_Sheet_Data'!$C$2:$C$630,"2000")</x:f>
        <x:v>2815502</x:v>
      </x:c>
      <x:c r="O42" s="37" t="n">
        <x:f>SUMIFS('Balance_Sheet_Data'!$E$2:$E$630,'Balance_Sheet_Data'!$A$2:$A$630,O$3,'Balance_Sheet_Data'!$C$2:$C$630,"2000")</x:f>
        <x:v>3228891</x:v>
      </x:c>
      <x:c r="P42" s="37" t="n">
        <x:f>SUMIFS('Balance_Sheet_Data'!$E$2:$E$630,'Balance_Sheet_Data'!$A$2:$A$630,P$3,'Balance_Sheet_Data'!$C$2:$C$630,"2000")</x:f>
        <x:v>3140618</x:v>
      </x:c>
      <x:c r="Q42" s="37" t="n">
        <x:f>SUMIFS('Balance_Sheet_Data'!$E$2:$E$630,'Balance_Sheet_Data'!$A$2:$A$630,Q$3,'Balance_Sheet_Data'!$C$2:$C$630,"2000")</x:f>
        <x:v>2719933</x:v>
      </x:c>
      <x:c r="R42" s="37" t="n">
        <x:f>SUMIFS('Balance_Sheet_Data'!$E$2:$E$630,'Balance_Sheet_Data'!$A$2:$A$630,R$3,'Balance_Sheet_Data'!$C$2:$C$630,"2000")</x:f>
        <x:v>2737497</x:v>
      </x:c>
      <x:c r="S42" s="37" t="n">
        <x:f>SUMIFS('Balance_Sheet_Data'!$E$2:$E$630,'Balance_Sheet_Data'!$A$2:$A$630,S$3,'Balance_Sheet_Data'!$C$2:$C$630,"2000")</x:f>
        <x:v>2880130</x:v>
      </x:c>
      <x:c r="T42" s="37" t="n">
        <x:f>SUMIFS('Balance_Sheet_Data'!$E$2:$E$630,'Balance_Sheet_Data'!$A$2:$A$630,T$3,'Balance_Sheet_Data'!$C$2:$C$630,"2000")</x:f>
        <x:v>2760382</x:v>
      </x:c>
      <x:c r="U42" s="37" t="n">
        <x:f>SUMIFS('Balance_Sheet_Data'!$E$2:$E$630,'Balance_Sheet_Data'!$A$2:$A$630,U$3,'Balance_Sheet_Data'!$C$2:$C$630,"2000")</x:f>
        <x:v>2536665</x:v>
      </x:c>
      <x:c r="V42" s="37" t="n">
        <x:f>SUMIFS('Balance_Sheet_Data'!$E$2:$E$630,'Balance_Sheet_Data'!$A$2:$A$630,V$3,'Balance_Sheet_Data'!$C$2:$C$630,"2000")</x:f>
        <x:v>3395685</x:v>
      </x:c>
      <x:c r="W42" s="37" t="n">
        <x:f>SUMIFS('Balance_Sheet_Data'!$E$2:$E$630,'Balance_Sheet_Data'!$A$2:$A$630,W$3,'Balance_Sheet_Data'!$C$2:$C$630,"2000")</x:f>
        <x:v>3376200</x:v>
      </x:c>
      <x:c r="X42" s="37" t="n">
        <x:f>SUMIFS('Balance_Sheet_Data'!$E$2:$E$630,'Balance_Sheet_Data'!$A$2:$A$630,X$3,'Balance_Sheet_Data'!$C$2:$C$630,"2000")</x:f>
        <x:v>3615025</x:v>
      </x:c>
      <x:c r="Y42" s="37" t="n">
        <x:f>SUMIFS('Balance_Sheet_Data'!$E$2:$E$630,'Balance_Sheet_Data'!$A$2:$A$630,Y$3,'Balance_Sheet_Data'!$C$2:$C$630,"2000")</x:f>
        <x:v>3747154</x:v>
      </x:c>
      <x:c r="Z42" s="37" t="n">
        <x:f>SUMIFS('Balance_Sheet_Data'!$E$2:$E$630,'Balance_Sheet_Data'!$A$2:$A$630,Z$3,'Balance_Sheet_Data'!$C$2:$C$630,"2000")</x:f>
        <x:v>2811391</x:v>
      </x:c>
      <x:c r="AA42" s="37" t="n">
        <x:f>SUMIFS('Balance_Sheet_Data'!$E$2:$E$630,'Balance_Sheet_Data'!$A$2:$A$630,AA$3,'Balance_Sheet_Data'!$C$2:$C$630,"2000")</x:f>
        <x:v>3220171</x:v>
      </x:c>
      <x:c r="AB42" s="37" t="n">
        <x:f>SUMIFS('Balance_Sheet_Data'!$E$2:$E$630,'Balance_Sheet_Data'!$A$2:$A$630,AB$3,'Balance_Sheet_Data'!$C$2:$C$630,"2000")</x:f>
        <x:v>3445946</x:v>
      </x:c>
      <x:c r="AC42" s="37" t="n">
        <x:f>SUMIFS('Balance_Sheet_Data'!$E$2:$E$630,'Balance_Sheet_Data'!$A$2:$A$630,AC$3,'Balance_Sheet_Data'!$C$2:$C$630,"2000")</x:f>
        <x:v>3431263</x:v>
      </x:c>
      <x:c r="AD42" s="37" t="n">
        <x:f>SUMIFS('Balance_Sheet_Data'!$E$2:$E$630,'Balance_Sheet_Data'!$A$2:$A$630,AD$3,'Balance_Sheet_Data'!$C$2:$C$630,"2000")</x:f>
        <x:v>3471041</x:v>
      </x:c>
      <x:c r="AE42" s="37" t="n">
        <x:f>SUMIFS('Balance_Sheet_Data'!$E$2:$E$630,'Balance_Sheet_Data'!$A$2:$A$630,AE$3,'Balance_Sheet_Data'!$C$2:$C$630,"2000")</x:f>
        <x:v>3676757</x:v>
      </x:c>
      <x:c r="AF42" s="37" t="n">
        <x:f>SUMIFS('Balance_Sheet_Data'!$E$2:$E$630,'Balance_Sheet_Data'!$A$2:$A$630,AF$3,'Balance_Sheet_Data'!$C$2:$C$630,"2000")</x:f>
        <x:v>3340039</x:v>
      </x:c>
      <x:c r="AG42" s="37" t="n">
        <x:f>SUMIFS('Balance_Sheet_Data'!$E$2:$E$630,'Balance_Sheet_Data'!$A$2:$A$630,AG$3,'Balance_Sheet_Data'!$C$2:$C$630,"2000")</x:f>
        <x:v>3191503</x:v>
      </x:c>
      <x:c r="AH42" s="37" t="n">
        <x:f>SUMIFS('Balance_Sheet_Data'!$E$2:$E$630,'Balance_Sheet_Data'!$A$2:$A$630,AH$3,'Balance_Sheet_Data'!$C$2:$C$630,"2000")</x:f>
        <x:v>3795529</x:v>
      </x:c>
      <x:c r="AI42" s="37" t="n">
        <x:f>SUMIFS('Balance_Sheet_Data'!$E$2:$E$630,'Balance_Sheet_Data'!$A$2:$A$630,AI$3,'Balance_Sheet_Data'!$C$2:$C$630,"2000")</x:f>
        <x:v>3812992</x:v>
      </x:c>
      <x:c r="AJ42" s="37" t="n">
        <x:f>SUMIFS('Balance_Sheet_Data'!$E$2:$E$630,'Balance_Sheet_Data'!$A$2:$A$630,AJ$3,'Balance_Sheet_Data'!$C$2:$C$630,"2000")</x:f>
        <x:v>4126756</x:v>
      </x:c>
      <x:c r="AK42" s="37" t="n">
        <x:f>SUMIFS('Balance_Sheet_Data'!$E$2:$E$630,'Balance_Sheet_Data'!$A$2:$A$630,AK$3,'Balance_Sheet_Data'!$C$2:$C$630,"2000")</x:f>
        <x:v>4324001</x:v>
      </x:c>
    </x:row>
    <x:row r="43">
      <x:c r="A43" s="36" t="str">
        <x:v>Acreedores y gastos devengados</x:v>
      </x:c>
      <x:c r="B43" s="37" t="n">
        <x:f>SUMIFS('Balance_Sheet_Data'!$E$2:$E$630,'Balance_Sheet_Data'!$A$2:$A$630,B$3,'Balance_Sheet_Data'!$C$2:$C$630,"2100")</x:f>
        <x:v>783000</x:v>
      </x:c>
      <x:c r="C43" s="37" t="n">
        <x:f>SUMIFS('Balance_Sheet_Data'!$E$2:$E$630,'Balance_Sheet_Data'!$A$2:$A$630,C$3,'Balance_Sheet_Data'!$C$2:$C$630,"2100")</x:f>
        <x:v>813955</x:v>
      </x:c>
      <x:c r="D43" s="37" t="n">
        <x:f>SUMIFS('Balance_Sheet_Data'!$E$2:$E$630,'Balance_Sheet_Data'!$A$2:$A$630,D$3,'Balance_Sheet_Data'!$C$2:$C$630,"2100")</x:f>
        <x:v>880440</x:v>
      </x:c>
      <x:c r="E43" s="37" t="n">
        <x:f>SUMIFS('Balance_Sheet_Data'!$E$2:$E$630,'Balance_Sheet_Data'!$A$2:$A$630,E$3,'Balance_Sheet_Data'!$C$2:$C$630,"2100")</x:f>
        <x:v>867947</x:v>
      </x:c>
      <x:c r="F43" s="37" t="n">
        <x:f>SUMIFS('Balance_Sheet_Data'!$E$2:$E$630,'Balance_Sheet_Data'!$A$2:$A$630,F$3,'Balance_Sheet_Data'!$C$2:$C$630,"2100")</x:f>
        <x:v>908698</x:v>
      </x:c>
      <x:c r="G43" s="37" t="n">
        <x:f>SUMIFS('Balance_Sheet_Data'!$E$2:$E$630,'Balance_Sheet_Data'!$A$2:$A$630,G$3,'Balance_Sheet_Data'!$C$2:$C$630,"2100")</x:f>
        <x:v>931944</x:v>
      </x:c>
      <x:c r="H43" s="37" t="n">
        <x:f>SUMIFS('Balance_Sheet_Data'!$E$2:$E$630,'Balance_Sheet_Data'!$A$2:$A$630,H$3,'Balance_Sheet_Data'!$C$2:$C$630,"2100")</x:f>
        <x:v>874280</x:v>
      </x:c>
      <x:c r="I43" s="37" t="n">
        <x:f>SUMIFS('Balance_Sheet_Data'!$E$2:$E$630,'Balance_Sheet_Data'!$A$2:$A$630,I$3,'Balance_Sheet_Data'!$C$2:$C$630,"2100")</x:f>
        <x:v>834017</x:v>
      </x:c>
      <x:c r="J43" s="37" t="n">
        <x:f>SUMIFS('Balance_Sheet_Data'!$E$2:$E$630,'Balance_Sheet_Data'!$A$2:$A$630,J$3,'Balance_Sheet_Data'!$C$2:$C$630,"2100")</x:f>
        <x:v>957348</x:v>
      </x:c>
      <x:c r="K43" s="37" t="n">
        <x:f>SUMIFS('Balance_Sheet_Data'!$E$2:$E$630,'Balance_Sheet_Data'!$A$2:$A$630,K$3,'Balance_Sheet_Data'!$C$2:$C$630,"2100")</x:f>
        <x:v>990338</x:v>
      </x:c>
      <x:c r="L43" s="37" t="n">
        <x:f>SUMIFS('Balance_Sheet_Data'!$E$2:$E$630,'Balance_Sheet_Data'!$A$2:$A$630,L$3,'Balance_Sheet_Data'!$C$2:$C$630,"2100")</x:f>
        <x:v>1032864</x:v>
      </x:c>
      <x:c r="M43" s="37" t="n">
        <x:f>SUMIFS('Balance_Sheet_Data'!$E$2:$E$630,'Balance_Sheet_Data'!$A$2:$A$630,M$3,'Balance_Sheet_Data'!$C$2:$C$630,"2100")</x:f>
        <x:v>1112904</x:v>
      </x:c>
      <x:c r="N43" s="37" t="n">
        <x:f>SUMIFS('Balance_Sheet_Data'!$E$2:$E$630,'Balance_Sheet_Data'!$A$2:$A$630,N$3,'Balance_Sheet_Data'!$C$2:$C$630,"2100")</x:f>
        <x:v>839376</x:v>
      </x:c>
      <x:c r="O43" s="37" t="n">
        <x:f>SUMIFS('Balance_Sheet_Data'!$E$2:$E$630,'Balance_Sheet_Data'!$A$2:$A$630,O$3,'Balance_Sheet_Data'!$C$2:$C$630,"2100")</x:f>
        <x:v>872210</x:v>
      </x:c>
      <x:c r="P43" s="37" t="n">
        <x:f>SUMIFS('Balance_Sheet_Data'!$E$2:$E$630,'Balance_Sheet_Data'!$A$2:$A$630,P$3,'Balance_Sheet_Data'!$C$2:$C$630,"2100")</x:f>
        <x:v>943080</x:v>
      </x:c>
      <x:c r="Q43" s="37" t="n">
        <x:f>SUMIFS('Balance_Sheet_Data'!$E$2:$E$630,'Balance_Sheet_Data'!$A$2:$A$630,Q$3,'Balance_Sheet_Data'!$C$2:$C$630,"2100")</x:f>
        <x:v>873574</x:v>
      </x:c>
      <x:c r="R43" s="37" t="n">
        <x:f>SUMIFS('Balance_Sheet_Data'!$E$2:$E$630,'Balance_Sheet_Data'!$A$2:$A$630,R$3,'Balance_Sheet_Data'!$C$2:$C$630,"2100")</x:f>
        <x:v>914235</x:v>
      </x:c>
      <x:c r="S43" s="37" t="n">
        <x:f>SUMIFS('Balance_Sheet_Data'!$E$2:$E$630,'Balance_Sheet_Data'!$A$2:$A$630,S$3,'Balance_Sheet_Data'!$C$2:$C$630,"2100")</x:f>
        <x:v>937264</x:v>
      </x:c>
      <x:c r="T43" s="37" t="n">
        <x:f>SUMIFS('Balance_Sheet_Data'!$E$2:$E$630,'Balance_Sheet_Data'!$A$2:$A$630,T$3,'Balance_Sheet_Data'!$C$2:$C$630,"2100")</x:f>
        <x:v>935041</x:v>
      </x:c>
      <x:c r="U43" s="37" t="n">
        <x:f>SUMIFS('Balance_Sheet_Data'!$E$2:$E$630,'Balance_Sheet_Data'!$A$2:$A$630,U$3,'Balance_Sheet_Data'!$C$2:$C$630,"2100")</x:f>
        <x:v>891646</x:v>
      </x:c>
      <x:c r="V43" s="37" t="n">
        <x:f>SUMIFS('Balance_Sheet_Data'!$E$2:$E$630,'Balance_Sheet_Data'!$A$2:$A$630,V$3,'Balance_Sheet_Data'!$C$2:$C$630,"2100")</x:f>
        <x:v>1023120</x:v>
      </x:c>
      <x:c r="W43" s="37" t="n">
        <x:f>SUMIFS('Balance_Sheet_Data'!$E$2:$E$630,'Balance_Sheet_Data'!$A$2:$A$630,W$3,'Balance_Sheet_Data'!$C$2:$C$630,"2100")</x:f>
        <x:v>1057990</x:v>
      </x:c>
      <x:c r="X43" s="37" t="n">
        <x:f>SUMIFS('Balance_Sheet_Data'!$E$2:$E$630,'Balance_Sheet_Data'!$A$2:$A$630,X$3,'Balance_Sheet_Data'!$C$2:$C$630,"2100")</x:f>
        <x:v>1103021</x:v>
      </x:c>
      <x:c r="Y43" s="37" t="n">
        <x:f>SUMIFS('Balance_Sheet_Data'!$E$2:$E$630,'Balance_Sheet_Data'!$A$2:$A$630,Y$3,'Balance_Sheet_Data'!$C$2:$C$630,"2100")</x:f>
        <x:v>1188072</x:v>
      </x:c>
      <x:c r="Z43" s="37" t="n">
        <x:f>SUMIFS('Balance_Sheet_Data'!$E$2:$E$630,'Balance_Sheet_Data'!$A$2:$A$630,Z$3,'Balance_Sheet_Data'!$C$2:$C$630,"2100")</x:f>
        <x:v>895752</x:v>
      </x:c>
      <x:c r="AA43" s="37" t="n">
        <x:f>SUMIFS('Balance_Sheet_Data'!$E$2:$E$630,'Balance_Sheet_Data'!$A$2:$A$630,AA$3,'Balance_Sheet_Data'!$C$2:$C$630,"2100")</x:f>
        <x:v>930465</x:v>
      </x:c>
      <x:c r="AB43" s="37" t="n">
        <x:f>SUMIFS('Balance_Sheet_Data'!$E$2:$E$630,'Balance_Sheet_Data'!$A$2:$A$630,AB$3,'Balance_Sheet_Data'!$C$2:$C$630,"2100")</x:f>
        <x:v>1040920</x:v>
      </x:c>
      <x:c r="AC43" s="37" t="n">
        <x:f>SUMIFS('Balance_Sheet_Data'!$E$2:$E$630,'Balance_Sheet_Data'!$A$2:$A$630,AC$3,'Balance_Sheet_Data'!$C$2:$C$630,"2100")</x:f>
        <x:v>1025396</x:v>
      </x:c>
      <x:c r="AD43" s="37" t="n">
        <x:f>SUMIFS('Balance_Sheet_Data'!$E$2:$E$630,'Balance_Sheet_Data'!$A$2:$A$630,AD$3,'Balance_Sheet_Data'!$C$2:$C$630,"2100")</x:f>
        <x:v>1072760</x:v>
      </x:c>
      <x:c r="AE43" s="37" t="n">
        <x:f>SUMIFS('Balance_Sheet_Data'!$E$2:$E$630,'Balance_Sheet_Data'!$A$2:$A$630,AE$3,'Balance_Sheet_Data'!$C$2:$C$630,"2100")</x:f>
        <x:v>1099413</x:v>
      </x:c>
      <x:c r="AF43" s="37" t="n">
        <x:f>SUMIFS('Balance_Sheet_Data'!$E$2:$E$630,'Balance_Sheet_Data'!$A$2:$A$630,AF$3,'Balance_Sheet_Data'!$C$2:$C$630,"2100")</x:f>
        <x:v>1030655</x:v>
      </x:c>
      <x:c r="AG43" s="37" t="n">
        <x:f>SUMIFS('Balance_Sheet_Data'!$E$2:$E$630,'Balance_Sheet_Data'!$A$2:$A$630,AG$3,'Balance_Sheet_Data'!$C$2:$C$630,"2100")</x:f>
        <x:v>982499</x:v>
      </x:c>
      <x:c r="AH43" s="37" t="n">
        <x:f>SUMIFS('Balance_Sheet_Data'!$E$2:$E$630,'Balance_Sheet_Data'!$A$2:$A$630,AH$3,'Balance_Sheet_Data'!$C$2:$C$630,"2100")</x:f>
        <x:v>1127003</x:v>
      </x:c>
      <x:c r="AI43" s="37" t="n">
        <x:f>SUMIFS('Balance_Sheet_Data'!$E$2:$E$630,'Balance_Sheet_Data'!$A$2:$A$630,AI$3,'Balance_Sheet_Data'!$C$2:$C$630,"2100")</x:f>
        <x:v>1165038</x:v>
      </x:c>
      <x:c r="AJ43" s="37" t="n">
        <x:f>SUMIFS('Balance_Sheet_Data'!$E$2:$E$630,'Balance_Sheet_Data'!$A$2:$A$630,AJ$3,'Balance_Sheet_Data'!$C$2:$C$630,"2100")</x:f>
        <x:v>1214239</x:v>
      </x:c>
      <x:c r="AK43" s="37" t="n">
        <x:f>SUMIFS('Balance_Sheet_Data'!$E$2:$E$630,'Balance_Sheet_Data'!$A$2:$A$630,AK$3,'Balance_Sheet_Data'!$C$2:$C$630,"2100")</x:f>
        <x:v>1307453</x:v>
      </x:c>
    </x:row>
    <x:row r="44">
      <x:c r="A44" s="36" t="str">
        <x:v>Impuestos a pagar</x:v>
      </x:c>
      <x:c r="B44" s="37" t="n">
        <x:f>SUMIFS('Balance_Sheet_Data'!$E$2:$E$630,'Balance_Sheet_Data'!$A$2:$A$630,B$3,'Balance_Sheet_Data'!$C$2:$C$630,"2200")</x:f>
        <x:v>96428</x:v>
      </x:c>
      <x:c r="C44" s="37" t="n">
        <x:f>SUMIFS('Balance_Sheet_Data'!$E$2:$E$630,'Balance_Sheet_Data'!$A$2:$A$630,C$3,'Balance_Sheet_Data'!$C$2:$C$630,"2200")</x:f>
        <x:v>101372</x:v>
      </x:c>
      <x:c r="D44" s="37" t="n">
        <x:f>SUMIFS('Balance_Sheet_Data'!$E$2:$E$630,'Balance_Sheet_Data'!$A$2:$A$630,D$3,'Balance_Sheet_Data'!$C$2:$C$630,"2200")</x:f>
        <x:v>113281</x:v>
      </x:c>
      <x:c r="E44" s="37" t="n">
        <x:f>SUMIFS('Balance_Sheet_Data'!$E$2:$E$630,'Balance_Sheet_Data'!$A$2:$A$630,E$3,'Balance_Sheet_Data'!$C$2:$C$630,"2200")</x:f>
        <x:v>110194</x:v>
      </x:c>
      <x:c r="F44" s="37" t="n">
        <x:f>SUMIFS('Balance_Sheet_Data'!$E$2:$E$630,'Balance_Sheet_Data'!$A$2:$A$630,F$3,'Balance_Sheet_Data'!$C$2:$C$630,"2200")</x:f>
        <x:v>117504</x:v>
      </x:c>
      <x:c r="G44" s="37" t="n">
        <x:f>SUMIFS('Balance_Sheet_Data'!$E$2:$E$630,'Balance_Sheet_Data'!$A$2:$A$630,G$3,'Balance_Sheet_Data'!$C$2:$C$630,"2200")</x:f>
        <x:v>121550</x:v>
      </x:c>
      <x:c r="H44" s="37" t="n">
        <x:f>SUMIFS('Balance_Sheet_Data'!$E$2:$E$630,'Balance_Sheet_Data'!$A$2:$A$630,H$3,'Balance_Sheet_Data'!$C$2:$C$630,"2200")</x:f>
        <x:v>109818</x:v>
      </x:c>
      <x:c r="I44" s="37" t="n">
        <x:f>SUMIFS('Balance_Sheet_Data'!$E$2:$E$630,'Balance_Sheet_Data'!$A$2:$A$630,I$3,'Balance_Sheet_Data'!$C$2:$C$630,"2200")</x:f>
        <x:v>101696</x:v>
      </x:c>
      <x:c r="J44" s="37" t="n">
        <x:f>SUMIFS('Balance_Sheet_Data'!$E$2:$E$630,'Balance_Sheet_Data'!$A$2:$A$630,J$3,'Balance_Sheet_Data'!$C$2:$C$630,"2200")</x:f>
        <x:v>125419</x:v>
      </x:c>
      <x:c r="K44" s="37" t="n">
        <x:f>SUMIFS('Balance_Sheet_Data'!$E$2:$E$630,'Balance_Sheet_Data'!$A$2:$A$630,K$3,'Balance_Sheet_Data'!$C$2:$C$630,"2200")</x:f>
        <x:v>131178</x:v>
      </x:c>
      <x:c r="L44" s="37" t="n">
        <x:f>SUMIFS('Balance_Sheet_Data'!$E$2:$E$630,'Balance_Sheet_Data'!$A$2:$A$630,L$3,'Balance_Sheet_Data'!$C$2:$C$630,"2200")</x:f>
        <x:v>139046</x:v>
      </x:c>
      <x:c r="M44" s="37" t="n">
        <x:f>SUMIFS('Balance_Sheet_Data'!$E$2:$E$630,'Balance_Sheet_Data'!$A$2:$A$630,M$3,'Balance_Sheet_Data'!$C$2:$C$630,"2200")</x:f>
        <x:v>154094</x:v>
      </x:c>
      <x:c r="N44" s="37" t="n">
        <x:f>SUMIFS('Balance_Sheet_Data'!$E$2:$E$630,'Balance_Sheet_Data'!$A$2:$A$630,N$3,'Balance_Sheet_Data'!$C$2:$C$630,"2200")</x:f>
        <x:v>99419</x:v>
      </x:c>
      <x:c r="O44" s="37" t="n">
        <x:f>SUMIFS('Balance_Sheet_Data'!$E$2:$E$630,'Balance_Sheet_Data'!$A$2:$A$630,O$3,'Balance_Sheet_Data'!$C$2:$C$630,"2200")</x:f>
        <x:v>105404</x:v>
      </x:c>
      <x:c r="P44" s="37" t="n">
        <x:f>SUMIFS('Balance_Sheet_Data'!$E$2:$E$630,'Balance_Sheet_Data'!$A$2:$A$630,P$3,'Balance_Sheet_Data'!$C$2:$C$630,"2200")</x:f>
        <x:v>118160</x:v>
      </x:c>
      <x:c r="Q44" s="37" t="n">
        <x:f>SUMIFS('Balance_Sheet_Data'!$E$2:$E$630,'Balance_Sheet_Data'!$A$2:$A$630,Q$3,'Balance_Sheet_Data'!$C$2:$C$630,"2200")</x:f>
        <x:v>85697</x:v>
      </x:c>
      <x:c r="R44" s="37" t="n">
        <x:f>SUMIFS('Balance_Sheet_Data'!$E$2:$E$630,'Balance_Sheet_Data'!$A$2:$A$630,R$3,'Balance_Sheet_Data'!$C$2:$C$630,"2200")</x:f>
        <x:v>91012</x:v>
      </x:c>
      <x:c r="S44" s="37" t="n">
        <x:f>SUMIFS('Balance_Sheet_Data'!$E$2:$E$630,'Balance_Sheet_Data'!$A$2:$A$630,S$3,'Balance_Sheet_Data'!$C$2:$C$630,"2200")</x:f>
        <x:v>66278</x:v>
      </x:c>
      <x:c r="T44" s="37" t="n">
        <x:f>SUMIFS('Balance_Sheet_Data'!$E$2:$E$630,'Balance_Sheet_Data'!$A$2:$A$630,T$3,'Balance_Sheet_Data'!$C$2:$C$630,"2200")</x:f>
        <x:v>91518</x:v>
      </x:c>
      <x:c r="U44" s="37" t="n">
        <x:f>SUMIFS('Balance_Sheet_Data'!$E$2:$E$630,'Balance_Sheet_Data'!$A$2:$A$630,U$3,'Balance_Sheet_Data'!$C$2:$C$630,"2200")</x:f>
        <x:v>100660</x:v>
      </x:c>
      <x:c r="V44" s="37" t="n">
        <x:f>SUMIFS('Balance_Sheet_Data'!$E$2:$E$630,'Balance_Sheet_Data'!$A$2:$A$630,V$3,'Balance_Sheet_Data'!$C$2:$C$630,"2200")</x:f>
        <x:v>134989</x:v>
      </x:c>
      <x:c r="W44" s="37" t="n">
        <x:f>SUMIFS('Balance_Sheet_Data'!$E$2:$E$630,'Balance_Sheet_Data'!$A$2:$A$630,W$3,'Balance_Sheet_Data'!$C$2:$C$630,"2200")</x:f>
        <x:v>130776</x:v>
      </x:c>
      <x:c r="X44" s="37" t="n">
        <x:f>SUMIFS('Balance_Sheet_Data'!$E$2:$E$630,'Balance_Sheet_Data'!$A$2:$A$630,X$3,'Balance_Sheet_Data'!$C$2:$C$630,"2200")</x:f>
        <x:v>138093</x:v>
      </x:c>
      <x:c r="Y44" s="37" t="n">
        <x:f>SUMIFS('Balance_Sheet_Data'!$E$2:$E$630,'Balance_Sheet_Data'!$A$2:$A$630,Y$3,'Balance_Sheet_Data'!$C$2:$C$630,"2200")</x:f>
        <x:v>153071</x:v>
      </x:c>
      <x:c r="Z44" s="37" t="n">
        <x:f>SUMIFS('Balance_Sheet_Data'!$E$2:$E$630,'Balance_Sheet_Data'!$A$2:$A$630,Z$3,'Balance_Sheet_Data'!$C$2:$C$630,"2200")</x:f>
        <x:v>91638</x:v>
      </x:c>
      <x:c r="AA44" s="37" t="n">
        <x:f>SUMIFS('Balance_Sheet_Data'!$E$2:$E$630,'Balance_Sheet_Data'!$A$2:$A$630,AA$3,'Balance_Sheet_Data'!$C$2:$C$630,"2200")</x:f>
        <x:v>97579</x:v>
      </x:c>
      <x:c r="AB44" s="37" t="n">
        <x:f>SUMIFS('Balance_Sheet_Data'!$E$2:$E$630,'Balance_Sheet_Data'!$A$2:$A$630,AB$3,'Balance_Sheet_Data'!$C$2:$C$630,"2200")</x:f>
        <x:v>117234</x:v>
      </x:c>
      <x:c r="AC44" s="37" t="n">
        <x:f>SUMIFS('Balance_Sheet_Data'!$E$2:$E$630,'Balance_Sheet_Data'!$A$2:$A$630,AC$3,'Balance_Sheet_Data'!$C$2:$C$630,"2200")</x:f>
        <x:v>127807</x:v>
      </x:c>
      <x:c r="AD44" s="37" t="n">
        <x:f>SUMIFS('Balance_Sheet_Data'!$E$2:$E$630,'Balance_Sheet_Data'!$A$2:$A$630,AD$3,'Balance_Sheet_Data'!$C$2:$C$630,"2200")</x:f>
        <x:v>136759</x:v>
      </x:c>
      <x:c r="AE44" s="37" t="n">
        <x:f>SUMIFS('Balance_Sheet_Data'!$E$2:$E$630,'Balance_Sheet_Data'!$A$2:$A$630,AE$3,'Balance_Sheet_Data'!$C$2:$C$630,"2200")</x:f>
        <x:v>141693</x:v>
      </x:c>
      <x:c r="AF44" s="37" t="n">
        <x:f>SUMIFS('Balance_Sheet_Data'!$E$2:$E$630,'Balance_Sheet_Data'!$A$2:$A$630,AF$3,'Balance_Sheet_Data'!$C$2:$C$630,"2200")</x:f>
        <x:v>127277</x:v>
      </x:c>
      <x:c r="AG44" s="37" t="n">
        <x:f>SUMIFS('Balance_Sheet_Data'!$E$2:$E$630,'Balance_Sheet_Data'!$A$2:$A$630,AG$3,'Balance_Sheet_Data'!$C$2:$C$630,"2200")</x:f>
        <x:v>117312</x:v>
      </x:c>
      <x:c r="AH44" s="37" t="n">
        <x:f>SUMIFS('Balance_Sheet_Data'!$E$2:$E$630,'Balance_Sheet_Data'!$A$2:$A$630,AH$3,'Balance_Sheet_Data'!$C$2:$C$630,"2200")</x:f>
        <x:v>146521</x:v>
      </x:c>
      <x:c r="AI44" s="37" t="n">
        <x:f>SUMIFS('Balance_Sheet_Data'!$E$2:$E$630,'Balance_Sheet_Data'!$A$2:$A$630,AI$3,'Balance_Sheet_Data'!$C$2:$C$630,"2200")</x:f>
        <x:v>153615</x:v>
      </x:c>
      <x:c r="AJ44" s="37" t="n">
        <x:f>SUMIFS('Balance_Sheet_Data'!$E$2:$E$630,'Balance_Sheet_Data'!$A$2:$A$630,AJ$3,'Balance_Sheet_Data'!$C$2:$C$630,"2200")</x:f>
        <x:v>163432</x:v>
      </x:c>
      <x:c r="AK44" s="37" t="n">
        <x:f>SUMIFS('Balance_Sheet_Data'!$E$2:$E$630,'Balance_Sheet_Data'!$A$2:$A$630,AK$3,'Balance_Sheet_Data'!$C$2:$C$630,"2200")</x:f>
        <x:v>182111</x:v>
      </x:c>
    </x:row>
    <x:row r="45">
      <x:c r="A45" s="36" t="str">
        <x:v>Deuda financiera corriente</x:v>
      </x:c>
      <x:c r="B45" s="37" t="n">
        <x:f>SUMIFS('Balance_Sheet_Data'!$E$2:$E$630,'Balance_Sheet_Data'!$A$2:$A$630,B$3,'Balance_Sheet_Data'!$C$2:$C$630,"2300")</x:f>
        <x:v>1200000</x:v>
      </x:c>
      <x:c r="C45" s="37" t="n">
        <x:f>SUMIFS('Balance_Sheet_Data'!$E$2:$E$630,'Balance_Sheet_Data'!$A$2:$A$630,C$3,'Balance_Sheet_Data'!$C$2:$C$630,"2300")</x:f>
        <x:v>1200000</x:v>
      </x:c>
      <x:c r="D45" s="37" t="n">
        <x:f>SUMIFS('Balance_Sheet_Data'!$E$2:$E$630,'Balance_Sheet_Data'!$A$2:$A$630,D$3,'Balance_Sheet_Data'!$C$2:$C$630,"2300")</x:f>
        <x:v>1175000</x:v>
      </x:c>
      <x:c r="E45" s="37" t="n">
        <x:f>SUMIFS('Balance_Sheet_Data'!$E$2:$E$630,'Balance_Sheet_Data'!$A$2:$A$630,E$3,'Balance_Sheet_Data'!$C$2:$C$630,"2300")</x:f>
        <x:v>1175000</x:v>
      </x:c>
      <x:c r="F45" s="37" t="n">
        <x:f>SUMIFS('Balance_Sheet_Data'!$E$2:$E$630,'Balance_Sheet_Data'!$A$2:$A$630,F$3,'Balance_Sheet_Data'!$C$2:$C$630,"2300")</x:f>
        <x:v>1175000</x:v>
      </x:c>
      <x:c r="G45" s="37" t="n">
        <x:f>SUMIFS('Balance_Sheet_Data'!$E$2:$E$630,'Balance_Sheet_Data'!$A$2:$A$630,G$3,'Balance_Sheet_Data'!$C$2:$C$630,"2300")</x:f>
        <x:v>1150000</x:v>
      </x:c>
      <x:c r="H45" s="37" t="n">
        <x:f>SUMIFS('Balance_Sheet_Data'!$E$2:$E$630,'Balance_Sheet_Data'!$A$2:$A$630,H$3,'Balance_Sheet_Data'!$C$2:$C$630,"2300")</x:f>
        <x:v>1150000</x:v>
      </x:c>
      <x:c r="I45" s="37" t="n">
        <x:f>SUMIFS('Balance_Sheet_Data'!$E$2:$E$630,'Balance_Sheet_Data'!$A$2:$A$630,I$3,'Balance_Sheet_Data'!$C$2:$C$630,"2300")</x:f>
        <x:v>1150000</x:v>
      </x:c>
      <x:c r="J45" s="37" t="n">
        <x:f>SUMIFS('Balance_Sheet_Data'!$E$2:$E$630,'Balance_Sheet_Data'!$A$2:$A$630,J$3,'Balance_Sheet_Data'!$C$2:$C$630,"2300")</x:f>
        <x:v>1125000</x:v>
      </x:c>
      <x:c r="K45" s="37" t="n">
        <x:f>SUMIFS('Balance_Sheet_Data'!$E$2:$E$630,'Balance_Sheet_Data'!$A$2:$A$630,K$3,'Balance_Sheet_Data'!$C$2:$C$630,"2300")</x:f>
        <x:v>1125000</x:v>
      </x:c>
      <x:c r="L45" s="37" t="n">
        <x:f>SUMIFS('Balance_Sheet_Data'!$E$2:$E$630,'Balance_Sheet_Data'!$A$2:$A$630,L$3,'Balance_Sheet_Data'!$C$2:$C$630,"2300")</x:f>
        <x:v>1125000</x:v>
      </x:c>
      <x:c r="M45" s="37" t="n">
        <x:f>SUMIFS('Balance_Sheet_Data'!$E$2:$E$630,'Balance_Sheet_Data'!$A$2:$A$630,M$3,'Balance_Sheet_Data'!$C$2:$C$630,"2300")</x:f>
        <x:v>1100000</x:v>
      </x:c>
      <x:c r="N45" s="37" t="n">
        <x:f>SUMIFS('Balance_Sheet_Data'!$E$2:$E$630,'Balance_Sheet_Data'!$A$2:$A$630,N$3,'Balance_Sheet_Data'!$C$2:$C$630,"2300")</x:f>
        <x:v>1100000</x:v>
      </x:c>
      <x:c r="O45" s="37" t="n">
        <x:f>SUMIFS('Balance_Sheet_Data'!$E$2:$E$630,'Balance_Sheet_Data'!$A$2:$A$630,O$3,'Balance_Sheet_Data'!$C$2:$C$630,"2300")</x:f>
        <x:v>1100000</x:v>
      </x:c>
      <x:c r="P45" s="37" t="n">
        <x:f>SUMIFS('Balance_Sheet_Data'!$E$2:$E$630,'Balance_Sheet_Data'!$A$2:$A$630,P$3,'Balance_Sheet_Data'!$C$2:$C$630,"2300")</x:f>
        <x:v>1075000</x:v>
      </x:c>
      <x:c r="Q45" s="37" t="n">
        <x:f>SUMIFS('Balance_Sheet_Data'!$E$2:$E$630,'Balance_Sheet_Data'!$A$2:$A$630,Q$3,'Balance_Sheet_Data'!$C$2:$C$630,"2300")</x:f>
        <x:v>1075000</x:v>
      </x:c>
      <x:c r="R45" s="37" t="n">
        <x:f>SUMIFS('Balance_Sheet_Data'!$E$2:$E$630,'Balance_Sheet_Data'!$A$2:$A$630,R$3,'Balance_Sheet_Data'!$C$2:$C$630,"2300")</x:f>
        <x:v>1295000</x:v>
      </x:c>
      <x:c r="S45" s="37" t="n">
        <x:f>SUMIFS('Balance_Sheet_Data'!$E$2:$E$630,'Balance_Sheet_Data'!$A$2:$A$630,S$3,'Balance_Sheet_Data'!$C$2:$C$630,"2300")</x:f>
        <x:v>1270000</x:v>
      </x:c>
      <x:c r="T45" s="37" t="n">
        <x:f>SUMIFS('Balance_Sheet_Data'!$E$2:$E$630,'Balance_Sheet_Data'!$A$2:$A$630,T$3,'Balance_Sheet_Data'!$C$2:$C$630,"2300")</x:f>
        <x:v>1270000</x:v>
      </x:c>
      <x:c r="U45" s="37" t="n">
        <x:f>SUMIFS('Balance_Sheet_Data'!$E$2:$E$630,'Balance_Sheet_Data'!$A$2:$A$630,U$3,'Balance_Sheet_Data'!$C$2:$C$630,"2300")</x:f>
        <x:v>1270000</x:v>
      </x:c>
      <x:c r="V45" s="37" t="n">
        <x:f>SUMIFS('Balance_Sheet_Data'!$E$2:$E$630,'Balance_Sheet_Data'!$A$2:$A$630,V$3,'Balance_Sheet_Data'!$C$2:$C$630,"2300")</x:f>
        <x:v>1245000</x:v>
      </x:c>
      <x:c r="W45" s="37" t="n">
        <x:f>SUMIFS('Balance_Sheet_Data'!$E$2:$E$630,'Balance_Sheet_Data'!$A$2:$A$630,W$3,'Balance_Sheet_Data'!$C$2:$C$630,"2300")</x:f>
        <x:v>1245000</x:v>
      </x:c>
      <x:c r="X45" s="37" t="n">
        <x:f>SUMIFS('Balance_Sheet_Data'!$E$2:$E$630,'Balance_Sheet_Data'!$A$2:$A$630,X$3,'Balance_Sheet_Data'!$C$2:$C$630,"2300")</x:f>
        <x:v>1245000</x:v>
      </x:c>
      <x:c r="Y45" s="37" t="n">
        <x:f>SUMIFS('Balance_Sheet_Data'!$E$2:$E$630,'Balance_Sheet_Data'!$A$2:$A$630,Y$3,'Balance_Sheet_Data'!$C$2:$C$630,"2300")</x:f>
        <x:v>1220000</x:v>
      </x:c>
      <x:c r="Z45" s="37" t="n">
        <x:f>SUMIFS('Balance_Sheet_Data'!$E$2:$E$630,'Balance_Sheet_Data'!$A$2:$A$630,Z$3,'Balance_Sheet_Data'!$C$2:$C$630,"2300")</x:f>
        <x:v>1220000</x:v>
      </x:c>
      <x:c r="AA45" s="37" t="n">
        <x:f>SUMIFS('Balance_Sheet_Data'!$E$2:$E$630,'Balance_Sheet_Data'!$A$2:$A$630,AA$3,'Balance_Sheet_Data'!$C$2:$C$630,"2300")</x:f>
        <x:v>1220000</x:v>
      </x:c>
      <x:c r="AB45" s="37" t="n">
        <x:f>SUMIFS('Balance_Sheet_Data'!$E$2:$E$630,'Balance_Sheet_Data'!$A$2:$A$630,AB$3,'Balance_Sheet_Data'!$C$2:$C$630,"2300")</x:f>
        <x:v>1195000</x:v>
      </x:c>
      <x:c r="AC45" s="37" t="n">
        <x:f>SUMIFS('Balance_Sheet_Data'!$E$2:$E$630,'Balance_Sheet_Data'!$A$2:$A$630,AC$3,'Balance_Sheet_Data'!$C$2:$C$630,"2300")</x:f>
        <x:v>1195000</x:v>
      </x:c>
      <x:c r="AD45" s="37" t="n">
        <x:f>SUMIFS('Balance_Sheet_Data'!$E$2:$E$630,'Balance_Sheet_Data'!$A$2:$A$630,AD$3,'Balance_Sheet_Data'!$C$2:$C$630,"2300")</x:f>
        <x:v>1195000</x:v>
      </x:c>
      <x:c r="AE45" s="37" t="n">
        <x:f>SUMIFS('Balance_Sheet_Data'!$E$2:$E$630,'Balance_Sheet_Data'!$A$2:$A$630,AE$3,'Balance_Sheet_Data'!$C$2:$C$630,"2300")</x:f>
        <x:v>1170000</x:v>
      </x:c>
      <x:c r="AF45" s="37" t="n">
        <x:f>SUMIFS('Balance_Sheet_Data'!$E$2:$E$630,'Balance_Sheet_Data'!$A$2:$A$630,AF$3,'Balance_Sheet_Data'!$C$2:$C$630,"2300")</x:f>
        <x:v>1170000</x:v>
      </x:c>
      <x:c r="AG45" s="37" t="n">
        <x:f>SUMIFS('Balance_Sheet_Data'!$E$2:$E$630,'Balance_Sheet_Data'!$A$2:$A$630,AG$3,'Balance_Sheet_Data'!$C$2:$C$630,"2300")</x:f>
        <x:v>1170000</x:v>
      </x:c>
      <x:c r="AH45" s="37" t="n">
        <x:f>SUMIFS('Balance_Sheet_Data'!$E$2:$E$630,'Balance_Sheet_Data'!$A$2:$A$630,AH$3,'Balance_Sheet_Data'!$C$2:$C$630,"2300")</x:f>
        <x:v>1145000</x:v>
      </x:c>
      <x:c r="AI45" s="37" t="n">
        <x:f>SUMIFS('Balance_Sheet_Data'!$E$2:$E$630,'Balance_Sheet_Data'!$A$2:$A$630,AI$3,'Balance_Sheet_Data'!$C$2:$C$630,"2300")</x:f>
        <x:v>1145000</x:v>
      </x:c>
      <x:c r="AJ45" s="37" t="n">
        <x:f>SUMIFS('Balance_Sheet_Data'!$E$2:$E$630,'Balance_Sheet_Data'!$A$2:$A$630,AJ$3,'Balance_Sheet_Data'!$C$2:$C$630,"2300")</x:f>
        <x:v>1145000</x:v>
      </x:c>
      <x:c r="AK45" s="37" t="n">
        <x:f>SUMIFS('Balance_Sheet_Data'!$E$2:$E$630,'Balance_Sheet_Data'!$A$2:$A$630,AK$3,'Balance_Sheet_Data'!$C$2:$C$630,"2300")</x:f>
        <x:v>1070000</x:v>
      </x:c>
    </x:row>
    <x:row r="46">
      <x:c r="A46" s="36" t="str">
        <x:v>Pasivos de arrendamiento corrientes</x:v>
      </x:c>
      <x:c r="B46" s="37" t="n">
        <x:f>SUMIFS('Balance_Sheet_Data'!$E$2:$E$630,'Balance_Sheet_Data'!$A$2:$A$630,B$3,'Balance_Sheet_Data'!$C$2:$C$630,"2400")</x:f>
        <x:v>292500</x:v>
      </x:c>
      <x:c r="C46" s="37" t="n">
        <x:f>SUMIFS('Balance_Sheet_Data'!$E$2:$E$630,'Balance_Sheet_Data'!$A$2:$A$630,C$3,'Balance_Sheet_Data'!$C$2:$C$630,"2400")</x:f>
        <x:v>285000</x:v>
      </x:c>
      <x:c r="D46" s="37" t="n">
        <x:f>SUMIFS('Balance_Sheet_Data'!$E$2:$E$630,'Balance_Sheet_Data'!$A$2:$A$630,D$3,'Balance_Sheet_Data'!$C$2:$C$630,"2400")</x:f>
        <x:v>277500</x:v>
      </x:c>
      <x:c r="E46" s="37" t="n">
        <x:f>SUMIFS('Balance_Sheet_Data'!$E$2:$E$630,'Balance_Sheet_Data'!$A$2:$A$630,E$3,'Balance_Sheet_Data'!$C$2:$C$630,"2400")</x:f>
        <x:v>270000</x:v>
      </x:c>
      <x:c r="F46" s="37" t="n">
        <x:f>SUMIFS('Balance_Sheet_Data'!$E$2:$E$630,'Balance_Sheet_Data'!$A$2:$A$630,F$3,'Balance_Sheet_Data'!$C$2:$C$630,"2400")</x:f>
        <x:v>262500</x:v>
      </x:c>
      <x:c r="G46" s="37" t="n">
        <x:f>SUMIFS('Balance_Sheet_Data'!$E$2:$E$630,'Balance_Sheet_Data'!$A$2:$A$630,G$3,'Balance_Sheet_Data'!$C$2:$C$630,"2400")</x:f>
        <x:v>255000</x:v>
      </x:c>
      <x:c r="H46" s="37" t="n">
        <x:f>SUMIFS('Balance_Sheet_Data'!$E$2:$E$630,'Balance_Sheet_Data'!$A$2:$A$630,H$3,'Balance_Sheet_Data'!$C$2:$C$630,"2400")</x:f>
        <x:v>247500</x:v>
      </x:c>
      <x:c r="I46" s="37" t="n">
        <x:f>SUMIFS('Balance_Sheet_Data'!$E$2:$E$630,'Balance_Sheet_Data'!$A$2:$A$630,I$3,'Balance_Sheet_Data'!$C$2:$C$630,"2400")</x:f>
        <x:v>240000</x:v>
      </x:c>
      <x:c r="J46" s="37" t="n">
        <x:f>SUMIFS('Balance_Sheet_Data'!$E$2:$E$630,'Balance_Sheet_Data'!$A$2:$A$630,J$3,'Balance_Sheet_Data'!$C$2:$C$630,"2400")</x:f>
        <x:v>232500</x:v>
      </x:c>
      <x:c r="K46" s="37" t="n">
        <x:f>SUMIFS('Balance_Sheet_Data'!$E$2:$E$630,'Balance_Sheet_Data'!$A$2:$A$630,K$3,'Balance_Sheet_Data'!$C$2:$C$630,"2400")</x:f>
        <x:v>225000</x:v>
      </x:c>
      <x:c r="L46" s="37" t="n">
        <x:f>SUMIFS('Balance_Sheet_Data'!$E$2:$E$630,'Balance_Sheet_Data'!$A$2:$A$630,L$3,'Balance_Sheet_Data'!$C$2:$C$630,"2400")</x:f>
        <x:v>217500</x:v>
      </x:c>
      <x:c r="M46" s="37" t="n">
        <x:f>SUMIFS('Balance_Sheet_Data'!$E$2:$E$630,'Balance_Sheet_Data'!$A$2:$A$630,M$3,'Balance_Sheet_Data'!$C$2:$C$630,"2400")</x:f>
        <x:v>210000</x:v>
      </x:c>
      <x:c r="N46" s="37" t="n">
        <x:f>SUMIFS('Balance_Sheet_Data'!$E$2:$E$630,'Balance_Sheet_Data'!$A$2:$A$630,N$3,'Balance_Sheet_Data'!$C$2:$C$630,"2400")</x:f>
        <x:v>202500</x:v>
      </x:c>
      <x:c r="O46" s="37" t="n">
        <x:f>SUMIFS('Balance_Sheet_Data'!$E$2:$E$630,'Balance_Sheet_Data'!$A$2:$A$630,O$3,'Balance_Sheet_Data'!$C$2:$C$630,"2400")</x:f>
        <x:v>195000</x:v>
      </x:c>
      <x:c r="P46" s="37" t="n">
        <x:f>SUMIFS('Balance_Sheet_Data'!$E$2:$E$630,'Balance_Sheet_Data'!$A$2:$A$630,P$3,'Balance_Sheet_Data'!$C$2:$C$630,"2400")</x:f>
        <x:v>187500</x:v>
      </x:c>
      <x:c r="Q46" s="37" t="n">
        <x:f>SUMIFS('Balance_Sheet_Data'!$E$2:$E$630,'Balance_Sheet_Data'!$A$2:$A$630,Q$3,'Balance_Sheet_Data'!$C$2:$C$630,"2400")</x:f>
        <x:v>180000</x:v>
      </x:c>
      <x:c r="R46" s="37" t="n">
        <x:f>SUMIFS('Balance_Sheet_Data'!$E$2:$E$630,'Balance_Sheet_Data'!$A$2:$A$630,R$3,'Balance_Sheet_Data'!$C$2:$C$630,"2400")</x:f>
        <x:v>172500</x:v>
      </x:c>
      <x:c r="S46" s="37" t="n">
        <x:f>SUMIFS('Balance_Sheet_Data'!$E$2:$E$630,'Balance_Sheet_Data'!$A$2:$A$630,S$3,'Balance_Sheet_Data'!$C$2:$C$630,"2400")</x:f>
        <x:v>165000</x:v>
      </x:c>
      <x:c r="T46" s="37" t="n">
        <x:f>SUMIFS('Balance_Sheet_Data'!$E$2:$E$630,'Balance_Sheet_Data'!$A$2:$A$630,T$3,'Balance_Sheet_Data'!$C$2:$C$630,"2400")</x:f>
        <x:v>157500</x:v>
      </x:c>
      <x:c r="U46" s="37" t="n">
        <x:f>SUMIFS('Balance_Sheet_Data'!$E$2:$E$630,'Balance_Sheet_Data'!$A$2:$A$630,U$3,'Balance_Sheet_Data'!$C$2:$C$630,"2400")</x:f>
        <x:v>150000</x:v>
      </x:c>
      <x:c r="V46" s="37" t="n">
        <x:f>SUMIFS('Balance_Sheet_Data'!$E$2:$E$630,'Balance_Sheet_Data'!$A$2:$A$630,V$3,'Balance_Sheet_Data'!$C$2:$C$630,"2400")</x:f>
        <x:v>142500</x:v>
      </x:c>
      <x:c r="W46" s="37" t="n">
        <x:f>SUMIFS('Balance_Sheet_Data'!$E$2:$E$630,'Balance_Sheet_Data'!$A$2:$A$630,W$3,'Balance_Sheet_Data'!$C$2:$C$630,"2400")</x:f>
        <x:v>135000</x:v>
      </x:c>
      <x:c r="X46" s="37" t="n">
        <x:f>SUMIFS('Balance_Sheet_Data'!$E$2:$E$630,'Balance_Sheet_Data'!$A$2:$A$630,X$3,'Balance_Sheet_Data'!$C$2:$C$630,"2400")</x:f>
        <x:v>127500</x:v>
      </x:c>
      <x:c r="Y46" s="37" t="n">
        <x:f>SUMIFS('Balance_Sheet_Data'!$E$2:$E$630,'Balance_Sheet_Data'!$A$2:$A$630,Y$3,'Balance_Sheet_Data'!$C$2:$C$630,"2400")</x:f>
        <x:v>120000</x:v>
      </x:c>
      <x:c r="Z46" s="37" t="n">
        <x:f>SUMIFS('Balance_Sheet_Data'!$E$2:$E$630,'Balance_Sheet_Data'!$A$2:$A$630,Z$3,'Balance_Sheet_Data'!$C$2:$C$630,"2400")</x:f>
        <x:v>112500</x:v>
      </x:c>
      <x:c r="AA46" s="37" t="n">
        <x:f>SUMIFS('Balance_Sheet_Data'!$E$2:$E$630,'Balance_Sheet_Data'!$A$2:$A$630,AA$3,'Balance_Sheet_Data'!$C$2:$C$630,"2400")</x:f>
        <x:v>105000</x:v>
      </x:c>
      <x:c r="AB46" s="37" t="n">
        <x:f>SUMIFS('Balance_Sheet_Data'!$E$2:$E$630,'Balance_Sheet_Data'!$A$2:$A$630,AB$3,'Balance_Sheet_Data'!$C$2:$C$630,"2400")</x:f>
        <x:v>97500</x:v>
      </x:c>
      <x:c r="AC46" s="37" t="n">
        <x:f>SUMIFS('Balance_Sheet_Data'!$E$2:$E$630,'Balance_Sheet_Data'!$A$2:$A$630,AC$3,'Balance_Sheet_Data'!$C$2:$C$630,"2400")</x:f>
        <x:v>90000</x:v>
      </x:c>
      <x:c r="AD46" s="37" t="n">
        <x:f>SUMIFS('Balance_Sheet_Data'!$E$2:$E$630,'Balance_Sheet_Data'!$A$2:$A$630,AD$3,'Balance_Sheet_Data'!$C$2:$C$630,"2400")</x:f>
        <x:v>82500</x:v>
      </x:c>
      <x:c r="AE46" s="37" t="n">
        <x:f>SUMIFS('Balance_Sheet_Data'!$E$2:$E$630,'Balance_Sheet_Data'!$A$2:$A$630,AE$3,'Balance_Sheet_Data'!$C$2:$C$630,"2400")</x:f>
        <x:v>75000</x:v>
      </x:c>
      <x:c r="AF46" s="37" t="n">
        <x:f>SUMIFS('Balance_Sheet_Data'!$E$2:$E$630,'Balance_Sheet_Data'!$A$2:$A$630,AF$3,'Balance_Sheet_Data'!$C$2:$C$630,"2400")</x:f>
        <x:v>67500</x:v>
      </x:c>
      <x:c r="AG46" s="37" t="n">
        <x:f>SUMIFS('Balance_Sheet_Data'!$E$2:$E$630,'Balance_Sheet_Data'!$A$2:$A$630,AG$3,'Balance_Sheet_Data'!$C$2:$C$630,"2400")</x:f>
        <x:v>60000</x:v>
      </x:c>
      <x:c r="AH46" s="37" t="n">
        <x:f>SUMIFS('Balance_Sheet_Data'!$E$2:$E$630,'Balance_Sheet_Data'!$A$2:$A$630,AH$3,'Balance_Sheet_Data'!$C$2:$C$630,"2400")</x:f>
        <x:v>52500</x:v>
      </x:c>
      <x:c r="AI46" s="37" t="n">
        <x:f>SUMIFS('Balance_Sheet_Data'!$E$2:$E$630,'Balance_Sheet_Data'!$A$2:$A$630,AI$3,'Balance_Sheet_Data'!$C$2:$C$630,"2400")</x:f>
        <x:v>45000</x:v>
      </x:c>
      <x:c r="AJ46" s="37" t="n">
        <x:f>SUMIFS('Balance_Sheet_Data'!$E$2:$E$630,'Balance_Sheet_Data'!$A$2:$A$630,AJ$3,'Balance_Sheet_Data'!$C$2:$C$630,"2400")</x:f>
        <x:v>37500</x:v>
      </x:c>
      <x:c r="AK46" s="37" t="n">
        <x:f>SUMIFS('Balance_Sheet_Data'!$E$2:$E$630,'Balance_Sheet_Data'!$A$2:$A$630,AK$3,'Balance_Sheet_Data'!$C$2:$C$630,"2400")</x:f>
        <x:v>30000</x:v>
      </x:c>
    </x:row>
    <x:row r="47">
      <x:c r="A47" s="38" t="str">
        <x:v>Total pasivo corriente</x:v>
      </x:c>
      <x:c r="B47" s="39" t="n">
        <x:f>SUM(B42:B46)</x:f>
        <x:v>4906154</x:v>
      </x:c>
      <x:c r="C47" s="39" t="n">
        <x:f>SUM(C42:C46)</x:f>
        <x:v>5235109</x:v>
      </x:c>
      <x:c r="D47" s="39" t="n">
        <x:f>SUM(D42:D46)</x:f>
        <x:v>5333113</x:v>
      </x:c>
      <x:c r="E47" s="39" t="n">
        <x:f>SUM(E42:E46)</x:f>
        <x:v>5381608</x:v>
      </x:c>
      <x:c r="F47" s="39" t="n">
        <x:f>SUM(F42:F46)</x:f>
        <x:v>5477503</x:v>
      </x:c>
      <x:c r="G47" s="39" t="n">
        <x:f>SUM(G42:G46)</x:f>
        <x:v>5667609</x:v>
      </x:c>
      <x:c r="H47" s="39" t="n">
        <x:f>SUM(H42:H46)</x:f>
        <x:v>5306502</x:v>
      </x:c>
      <x:c r="I47" s="39" t="n">
        <x:f>SUM(I42:I46)</x:f>
        <x:v>5124332</x:v>
      </x:c>
      <x:c r="J47" s="39" t="n">
        <x:f>SUM(J42:J46)</x:f>
        <x:v>5766542</x:v>
      </x:c>
      <x:c r="K47" s="39" t="n">
        <x:f>SUM(K42:K46)</x:f>
        <x:v>5804695</x:v>
      </x:c>
      <x:c r="L47" s="39" t="n">
        <x:f>SUM(L42:L46)</x:f>
        <x:v>6106306</x:v>
      </x:c>
      <x:c r="M47" s="39" t="n">
        <x:f>SUM(M42:M46)</x:f>
        <x:v>6318119</x:v>
      </x:c>
      <x:c r="N47" s="39" t="n">
        <x:f>SUM(N42:N46)</x:f>
        <x:v>5056797</x:v>
      </x:c>
      <x:c r="O47" s="39" t="n">
        <x:f>SUM(O42:O46)</x:f>
        <x:v>5501505</x:v>
      </x:c>
      <x:c r="P47" s="39" t="n">
        <x:f>SUM(P42:P46)</x:f>
        <x:v>5464358</x:v>
      </x:c>
      <x:c r="Q47" s="39" t="n">
        <x:f>SUM(Q42:Q46)</x:f>
        <x:v>4934204</x:v>
      </x:c>
      <x:c r="R47" s="39" t="n">
        <x:f>SUM(R42:R46)</x:f>
        <x:v>5210244</x:v>
      </x:c>
      <x:c r="S47" s="39" t="n">
        <x:f>SUM(S42:S46)</x:f>
        <x:v>5318672</x:v>
      </x:c>
      <x:c r="T47" s="39" t="n">
        <x:f>SUM(T42:T46)</x:f>
        <x:v>5214441</x:v>
      </x:c>
      <x:c r="U47" s="39" t="n">
        <x:f>SUM(U42:U46)</x:f>
        <x:v>4948971</x:v>
      </x:c>
      <x:c r="V47" s="39" t="n">
        <x:f>SUM(V42:V46)</x:f>
        <x:v>5941294</x:v>
      </x:c>
      <x:c r="W47" s="39" t="n">
        <x:f>SUM(W42:W46)</x:f>
        <x:v>5944966</x:v>
      </x:c>
      <x:c r="X47" s="39" t="n">
        <x:f>SUM(X42:X46)</x:f>
        <x:v>6228639</x:v>
      </x:c>
      <x:c r="Y47" s="39" t="n">
        <x:f>SUM(Y42:Y46)</x:f>
        <x:v>6428297</x:v>
      </x:c>
      <x:c r="Z47" s="39" t="n">
        <x:f>SUM(Z42:Z46)</x:f>
        <x:v>5131281</x:v>
      </x:c>
      <x:c r="AA47" s="39" t="n">
        <x:f>SUM(AA42:AA46)</x:f>
        <x:v>5573215</x:v>
      </x:c>
      <x:c r="AB47" s="39" t="n">
        <x:f>SUM(AB42:AB46)</x:f>
        <x:v>5896600</x:v>
      </x:c>
      <x:c r="AC47" s="39" t="n">
        <x:f>SUM(AC42:AC46)</x:f>
        <x:v>5869466</x:v>
      </x:c>
      <x:c r="AD47" s="39" t="n">
        <x:f>SUM(AD42:AD46)</x:f>
        <x:v>5958060</x:v>
      </x:c>
      <x:c r="AE47" s="39" t="n">
        <x:f>SUM(AE42:AE46)</x:f>
        <x:v>6162863</x:v>
      </x:c>
      <x:c r="AF47" s="39" t="n">
        <x:f>SUM(AF42:AF46)</x:f>
        <x:v>5735471</x:v>
      </x:c>
      <x:c r="AG47" s="39" t="n">
        <x:f>SUM(AG42:AG46)</x:f>
        <x:v>5521314</x:v>
      </x:c>
      <x:c r="AH47" s="39" t="n">
        <x:f>SUM(AH42:AH46)</x:f>
        <x:v>6266553</x:v>
      </x:c>
      <x:c r="AI47" s="39" t="n">
        <x:f>SUM(AI42:AI46)</x:f>
        <x:v>6321645</x:v>
      </x:c>
      <x:c r="AJ47" s="39" t="n">
        <x:f>SUM(AJ42:AJ46)</x:f>
        <x:v>6686927</x:v>
      </x:c>
      <x:c r="AK47" s="39" t="n">
        <x:f>SUM(AK42:AK46)</x:f>
        <x:v>6913565</x:v>
      </x:c>
    </x:row>
    <x:row r="48">
      <x:c r="A48" s="36" t="str">
        <x:v>Deuda financiera no corriente</x:v>
      </x:c>
      <x:c r="B48" s="37" t="n">
        <x:f>SUMIFS('Balance_Sheet_Data'!$E$2:$E$630,'Balance_Sheet_Data'!$A$2:$A$630,B$3,'Balance_Sheet_Data'!$C$2:$C$630,"2500")</x:f>
        <x:v>4800000</x:v>
      </x:c>
      <x:c r="C48" s="37" t="n">
        <x:f>SUMIFS('Balance_Sheet_Data'!$E$2:$E$630,'Balance_Sheet_Data'!$A$2:$A$630,C$3,'Balance_Sheet_Data'!$C$2:$C$630,"2500")</x:f>
        <x:v>4800000</x:v>
      </x:c>
      <x:c r="D48" s="37" t="n">
        <x:f>SUMIFS('Balance_Sheet_Data'!$E$2:$E$630,'Balance_Sheet_Data'!$A$2:$A$630,D$3,'Balance_Sheet_Data'!$C$2:$C$630,"2500")</x:f>
        <x:v>4700000</x:v>
      </x:c>
      <x:c r="E48" s="37" t="n">
        <x:f>SUMIFS('Balance_Sheet_Data'!$E$2:$E$630,'Balance_Sheet_Data'!$A$2:$A$630,E$3,'Balance_Sheet_Data'!$C$2:$C$630,"2500")</x:f>
        <x:v>4700000</x:v>
      </x:c>
      <x:c r="F48" s="37" t="n">
        <x:f>SUMIFS('Balance_Sheet_Data'!$E$2:$E$630,'Balance_Sheet_Data'!$A$2:$A$630,F$3,'Balance_Sheet_Data'!$C$2:$C$630,"2500")</x:f>
        <x:v>4700000</x:v>
      </x:c>
      <x:c r="G48" s="37" t="n">
        <x:f>SUMIFS('Balance_Sheet_Data'!$E$2:$E$630,'Balance_Sheet_Data'!$A$2:$A$630,G$3,'Balance_Sheet_Data'!$C$2:$C$630,"2500")</x:f>
        <x:v>4600000</x:v>
      </x:c>
      <x:c r="H48" s="37" t="n">
        <x:f>SUMIFS('Balance_Sheet_Data'!$E$2:$E$630,'Balance_Sheet_Data'!$A$2:$A$630,H$3,'Balance_Sheet_Data'!$C$2:$C$630,"2500")</x:f>
        <x:v>4600000</x:v>
      </x:c>
      <x:c r="I48" s="37" t="n">
        <x:f>SUMIFS('Balance_Sheet_Data'!$E$2:$E$630,'Balance_Sheet_Data'!$A$2:$A$630,I$3,'Balance_Sheet_Data'!$C$2:$C$630,"2500")</x:f>
        <x:v>4600000</x:v>
      </x:c>
      <x:c r="J48" s="37" t="n">
        <x:f>SUMIFS('Balance_Sheet_Data'!$E$2:$E$630,'Balance_Sheet_Data'!$A$2:$A$630,J$3,'Balance_Sheet_Data'!$C$2:$C$630,"2500")</x:f>
        <x:v>4500000</x:v>
      </x:c>
      <x:c r="K48" s="37" t="n">
        <x:f>SUMIFS('Balance_Sheet_Data'!$E$2:$E$630,'Balance_Sheet_Data'!$A$2:$A$630,K$3,'Balance_Sheet_Data'!$C$2:$C$630,"2500")</x:f>
        <x:v>4500000</x:v>
      </x:c>
      <x:c r="L48" s="37" t="n">
        <x:f>SUMIFS('Balance_Sheet_Data'!$E$2:$E$630,'Balance_Sheet_Data'!$A$2:$A$630,L$3,'Balance_Sheet_Data'!$C$2:$C$630,"2500")</x:f>
        <x:v>4500000</x:v>
      </x:c>
      <x:c r="M48" s="37" t="n">
        <x:f>SUMIFS('Balance_Sheet_Data'!$E$2:$E$630,'Balance_Sheet_Data'!$A$2:$A$630,M$3,'Balance_Sheet_Data'!$C$2:$C$630,"2500")</x:f>
        <x:v>4400000</x:v>
      </x:c>
      <x:c r="N48" s="37" t="n">
        <x:f>SUMIFS('Balance_Sheet_Data'!$E$2:$E$630,'Balance_Sheet_Data'!$A$2:$A$630,N$3,'Balance_Sheet_Data'!$C$2:$C$630,"2500")</x:f>
        <x:v>4400000</x:v>
      </x:c>
      <x:c r="O48" s="37" t="n">
        <x:f>SUMIFS('Balance_Sheet_Data'!$E$2:$E$630,'Balance_Sheet_Data'!$A$2:$A$630,O$3,'Balance_Sheet_Data'!$C$2:$C$630,"2500")</x:f>
        <x:v>4400000</x:v>
      </x:c>
      <x:c r="P48" s="37" t="n">
        <x:f>SUMIFS('Balance_Sheet_Data'!$E$2:$E$630,'Balance_Sheet_Data'!$A$2:$A$630,P$3,'Balance_Sheet_Data'!$C$2:$C$630,"2500")</x:f>
        <x:v>4300000</x:v>
      </x:c>
      <x:c r="Q48" s="37" t="n">
        <x:f>SUMIFS('Balance_Sheet_Data'!$E$2:$E$630,'Balance_Sheet_Data'!$A$2:$A$630,Q$3,'Balance_Sheet_Data'!$C$2:$C$630,"2500")</x:f>
        <x:v>4300000</x:v>
      </x:c>
      <x:c r="R48" s="37" t="n">
        <x:f>SUMIFS('Balance_Sheet_Data'!$E$2:$E$630,'Balance_Sheet_Data'!$A$2:$A$630,R$3,'Balance_Sheet_Data'!$C$2:$C$630,"2500")</x:f>
        <x:v>5180000</x:v>
      </x:c>
      <x:c r="S48" s="37" t="n">
        <x:f>SUMIFS('Balance_Sheet_Data'!$E$2:$E$630,'Balance_Sheet_Data'!$A$2:$A$630,S$3,'Balance_Sheet_Data'!$C$2:$C$630,"2500")</x:f>
        <x:v>5080000</x:v>
      </x:c>
      <x:c r="T48" s="37" t="n">
        <x:f>SUMIFS('Balance_Sheet_Data'!$E$2:$E$630,'Balance_Sheet_Data'!$A$2:$A$630,T$3,'Balance_Sheet_Data'!$C$2:$C$630,"2500")</x:f>
        <x:v>5080000</x:v>
      </x:c>
      <x:c r="U48" s="37" t="n">
        <x:f>SUMIFS('Balance_Sheet_Data'!$E$2:$E$630,'Balance_Sheet_Data'!$A$2:$A$630,U$3,'Balance_Sheet_Data'!$C$2:$C$630,"2500")</x:f>
        <x:v>5080000</x:v>
      </x:c>
      <x:c r="V48" s="37" t="n">
        <x:f>SUMIFS('Balance_Sheet_Data'!$E$2:$E$630,'Balance_Sheet_Data'!$A$2:$A$630,V$3,'Balance_Sheet_Data'!$C$2:$C$630,"2500")</x:f>
        <x:v>4980000</x:v>
      </x:c>
      <x:c r="W48" s="37" t="n">
        <x:f>SUMIFS('Balance_Sheet_Data'!$E$2:$E$630,'Balance_Sheet_Data'!$A$2:$A$630,W$3,'Balance_Sheet_Data'!$C$2:$C$630,"2500")</x:f>
        <x:v>4980000</x:v>
      </x:c>
      <x:c r="X48" s="37" t="n">
        <x:f>SUMIFS('Balance_Sheet_Data'!$E$2:$E$630,'Balance_Sheet_Data'!$A$2:$A$630,X$3,'Balance_Sheet_Data'!$C$2:$C$630,"2500")</x:f>
        <x:v>4980000</x:v>
      </x:c>
      <x:c r="Y48" s="37" t="n">
        <x:f>SUMIFS('Balance_Sheet_Data'!$E$2:$E$630,'Balance_Sheet_Data'!$A$2:$A$630,Y$3,'Balance_Sheet_Data'!$C$2:$C$630,"2500")</x:f>
        <x:v>4880000</x:v>
      </x:c>
      <x:c r="Z48" s="37" t="n">
        <x:f>SUMIFS('Balance_Sheet_Data'!$E$2:$E$630,'Balance_Sheet_Data'!$A$2:$A$630,Z$3,'Balance_Sheet_Data'!$C$2:$C$630,"2500")</x:f>
        <x:v>4880000</x:v>
      </x:c>
      <x:c r="AA48" s="37" t="n">
        <x:f>SUMIFS('Balance_Sheet_Data'!$E$2:$E$630,'Balance_Sheet_Data'!$A$2:$A$630,AA$3,'Balance_Sheet_Data'!$C$2:$C$630,"2500")</x:f>
        <x:v>4880000</x:v>
      </x:c>
      <x:c r="AB48" s="37" t="n">
        <x:f>SUMIFS('Balance_Sheet_Data'!$E$2:$E$630,'Balance_Sheet_Data'!$A$2:$A$630,AB$3,'Balance_Sheet_Data'!$C$2:$C$630,"2500")</x:f>
        <x:v>4780000</x:v>
      </x:c>
      <x:c r="AC48" s="37" t="n">
        <x:f>SUMIFS('Balance_Sheet_Data'!$E$2:$E$630,'Balance_Sheet_Data'!$A$2:$A$630,AC$3,'Balance_Sheet_Data'!$C$2:$C$630,"2500")</x:f>
        <x:v>4780000</x:v>
      </x:c>
      <x:c r="AD48" s="37" t="n">
        <x:f>SUMIFS('Balance_Sheet_Data'!$E$2:$E$630,'Balance_Sheet_Data'!$A$2:$A$630,AD$3,'Balance_Sheet_Data'!$C$2:$C$630,"2500")</x:f>
        <x:v>4780000</x:v>
      </x:c>
      <x:c r="AE48" s="37" t="n">
        <x:f>SUMIFS('Balance_Sheet_Data'!$E$2:$E$630,'Balance_Sheet_Data'!$A$2:$A$630,AE$3,'Balance_Sheet_Data'!$C$2:$C$630,"2500")</x:f>
        <x:v>4680000</x:v>
      </x:c>
      <x:c r="AF48" s="37" t="n">
        <x:f>SUMIFS('Balance_Sheet_Data'!$E$2:$E$630,'Balance_Sheet_Data'!$A$2:$A$630,AF$3,'Balance_Sheet_Data'!$C$2:$C$630,"2500")</x:f>
        <x:v>4680000</x:v>
      </x:c>
      <x:c r="AG48" s="37" t="n">
        <x:f>SUMIFS('Balance_Sheet_Data'!$E$2:$E$630,'Balance_Sheet_Data'!$A$2:$A$630,AG$3,'Balance_Sheet_Data'!$C$2:$C$630,"2500")</x:f>
        <x:v>4680000</x:v>
      </x:c>
      <x:c r="AH48" s="37" t="n">
        <x:f>SUMIFS('Balance_Sheet_Data'!$E$2:$E$630,'Balance_Sheet_Data'!$A$2:$A$630,AH$3,'Balance_Sheet_Data'!$C$2:$C$630,"2500")</x:f>
        <x:v>4580000</x:v>
      </x:c>
      <x:c r="AI48" s="37" t="n">
        <x:f>SUMIFS('Balance_Sheet_Data'!$E$2:$E$630,'Balance_Sheet_Data'!$A$2:$A$630,AI$3,'Balance_Sheet_Data'!$C$2:$C$630,"2500")</x:f>
        <x:v>4580000</x:v>
      </x:c>
      <x:c r="AJ48" s="37" t="n">
        <x:f>SUMIFS('Balance_Sheet_Data'!$E$2:$E$630,'Balance_Sheet_Data'!$A$2:$A$630,AJ$3,'Balance_Sheet_Data'!$C$2:$C$630,"2500")</x:f>
        <x:v>4580000</x:v>
      </x:c>
      <x:c r="AK48" s="37" t="n">
        <x:f>SUMIFS('Balance_Sheet_Data'!$E$2:$E$630,'Balance_Sheet_Data'!$A$2:$A$630,AK$3,'Balance_Sheet_Data'!$C$2:$C$630,"2500")</x:f>
        <x:v>4280000</x:v>
      </x:c>
    </x:row>
    <x:row r="49">
      <x:c r="A49" s="36" t="str">
        <x:v>Pasivos de arrendamiento no corrientes</x:v>
      </x:c>
      <x:c r="B49" s="37" t="n">
        <x:f>SUMIFS('Balance_Sheet_Data'!$E$2:$E$630,'Balance_Sheet_Data'!$A$2:$A$630,B$3,'Balance_Sheet_Data'!$C$2:$C$630,"2600")</x:f>
        <x:v>682500</x:v>
      </x:c>
      <x:c r="C49" s="37" t="n">
        <x:f>SUMIFS('Balance_Sheet_Data'!$E$2:$E$630,'Balance_Sheet_Data'!$A$2:$A$630,C$3,'Balance_Sheet_Data'!$C$2:$C$630,"2600")</x:f>
        <x:v>665000</x:v>
      </x:c>
      <x:c r="D49" s="37" t="n">
        <x:f>SUMIFS('Balance_Sheet_Data'!$E$2:$E$630,'Balance_Sheet_Data'!$A$2:$A$630,D$3,'Balance_Sheet_Data'!$C$2:$C$630,"2600")</x:f>
        <x:v>647500</x:v>
      </x:c>
      <x:c r="E49" s="37" t="n">
        <x:f>SUMIFS('Balance_Sheet_Data'!$E$2:$E$630,'Balance_Sheet_Data'!$A$2:$A$630,E$3,'Balance_Sheet_Data'!$C$2:$C$630,"2600")</x:f>
        <x:v>630000</x:v>
      </x:c>
      <x:c r="F49" s="37" t="n">
        <x:f>SUMIFS('Balance_Sheet_Data'!$E$2:$E$630,'Balance_Sheet_Data'!$A$2:$A$630,F$3,'Balance_Sheet_Data'!$C$2:$C$630,"2600")</x:f>
        <x:v>612500</x:v>
      </x:c>
      <x:c r="G49" s="37" t="n">
        <x:f>SUMIFS('Balance_Sheet_Data'!$E$2:$E$630,'Balance_Sheet_Data'!$A$2:$A$630,G$3,'Balance_Sheet_Data'!$C$2:$C$630,"2600")</x:f>
        <x:v>595000</x:v>
      </x:c>
      <x:c r="H49" s="37" t="n">
        <x:f>SUMIFS('Balance_Sheet_Data'!$E$2:$E$630,'Balance_Sheet_Data'!$A$2:$A$630,H$3,'Balance_Sheet_Data'!$C$2:$C$630,"2600")</x:f>
        <x:v>577500</x:v>
      </x:c>
      <x:c r="I49" s="37" t="n">
        <x:f>SUMIFS('Balance_Sheet_Data'!$E$2:$E$630,'Balance_Sheet_Data'!$A$2:$A$630,I$3,'Balance_Sheet_Data'!$C$2:$C$630,"2600")</x:f>
        <x:v>560000</x:v>
      </x:c>
      <x:c r="J49" s="37" t="n">
        <x:f>SUMIFS('Balance_Sheet_Data'!$E$2:$E$630,'Balance_Sheet_Data'!$A$2:$A$630,J$3,'Balance_Sheet_Data'!$C$2:$C$630,"2600")</x:f>
        <x:v>542500</x:v>
      </x:c>
      <x:c r="K49" s="37" t="n">
        <x:f>SUMIFS('Balance_Sheet_Data'!$E$2:$E$630,'Balance_Sheet_Data'!$A$2:$A$630,K$3,'Balance_Sheet_Data'!$C$2:$C$630,"2600")</x:f>
        <x:v>525000</x:v>
      </x:c>
      <x:c r="L49" s="37" t="n">
        <x:f>SUMIFS('Balance_Sheet_Data'!$E$2:$E$630,'Balance_Sheet_Data'!$A$2:$A$630,L$3,'Balance_Sheet_Data'!$C$2:$C$630,"2600")</x:f>
        <x:v>507500</x:v>
      </x:c>
      <x:c r="M49" s="37" t="n">
        <x:f>SUMIFS('Balance_Sheet_Data'!$E$2:$E$630,'Balance_Sheet_Data'!$A$2:$A$630,M$3,'Balance_Sheet_Data'!$C$2:$C$630,"2600")</x:f>
        <x:v>490000</x:v>
      </x:c>
      <x:c r="N49" s="37" t="n">
        <x:f>SUMIFS('Balance_Sheet_Data'!$E$2:$E$630,'Balance_Sheet_Data'!$A$2:$A$630,N$3,'Balance_Sheet_Data'!$C$2:$C$630,"2600")</x:f>
        <x:v>472500</x:v>
      </x:c>
      <x:c r="O49" s="37" t="n">
        <x:f>SUMIFS('Balance_Sheet_Data'!$E$2:$E$630,'Balance_Sheet_Data'!$A$2:$A$630,O$3,'Balance_Sheet_Data'!$C$2:$C$630,"2600")</x:f>
        <x:v>455000</x:v>
      </x:c>
      <x:c r="P49" s="37" t="n">
        <x:f>SUMIFS('Balance_Sheet_Data'!$E$2:$E$630,'Balance_Sheet_Data'!$A$2:$A$630,P$3,'Balance_Sheet_Data'!$C$2:$C$630,"2600")</x:f>
        <x:v>437500</x:v>
      </x:c>
      <x:c r="Q49" s="37" t="n">
        <x:f>SUMIFS('Balance_Sheet_Data'!$E$2:$E$630,'Balance_Sheet_Data'!$A$2:$A$630,Q$3,'Balance_Sheet_Data'!$C$2:$C$630,"2600")</x:f>
        <x:v>420000</x:v>
      </x:c>
      <x:c r="R49" s="37" t="n">
        <x:f>SUMIFS('Balance_Sheet_Data'!$E$2:$E$630,'Balance_Sheet_Data'!$A$2:$A$630,R$3,'Balance_Sheet_Data'!$C$2:$C$630,"2600")</x:f>
        <x:v>402500</x:v>
      </x:c>
      <x:c r="S49" s="37" t="n">
        <x:f>SUMIFS('Balance_Sheet_Data'!$E$2:$E$630,'Balance_Sheet_Data'!$A$2:$A$630,S$3,'Balance_Sheet_Data'!$C$2:$C$630,"2600")</x:f>
        <x:v>385000</x:v>
      </x:c>
      <x:c r="T49" s="37" t="n">
        <x:f>SUMIFS('Balance_Sheet_Data'!$E$2:$E$630,'Balance_Sheet_Data'!$A$2:$A$630,T$3,'Balance_Sheet_Data'!$C$2:$C$630,"2600")</x:f>
        <x:v>367500</x:v>
      </x:c>
      <x:c r="U49" s="37" t="n">
        <x:f>SUMIFS('Balance_Sheet_Data'!$E$2:$E$630,'Balance_Sheet_Data'!$A$2:$A$630,U$3,'Balance_Sheet_Data'!$C$2:$C$630,"2600")</x:f>
        <x:v>350000</x:v>
      </x:c>
      <x:c r="V49" s="37" t="n">
        <x:f>SUMIFS('Balance_Sheet_Data'!$E$2:$E$630,'Balance_Sheet_Data'!$A$2:$A$630,V$3,'Balance_Sheet_Data'!$C$2:$C$630,"2600")</x:f>
        <x:v>332500</x:v>
      </x:c>
      <x:c r="W49" s="37" t="n">
        <x:f>SUMIFS('Balance_Sheet_Data'!$E$2:$E$630,'Balance_Sheet_Data'!$A$2:$A$630,W$3,'Balance_Sheet_Data'!$C$2:$C$630,"2600")</x:f>
        <x:v>315000</x:v>
      </x:c>
      <x:c r="X49" s="37" t="n">
        <x:f>SUMIFS('Balance_Sheet_Data'!$E$2:$E$630,'Balance_Sheet_Data'!$A$2:$A$630,X$3,'Balance_Sheet_Data'!$C$2:$C$630,"2600")</x:f>
        <x:v>297500</x:v>
      </x:c>
      <x:c r="Y49" s="37" t="n">
        <x:f>SUMIFS('Balance_Sheet_Data'!$E$2:$E$630,'Balance_Sheet_Data'!$A$2:$A$630,Y$3,'Balance_Sheet_Data'!$C$2:$C$630,"2600")</x:f>
        <x:v>280000</x:v>
      </x:c>
      <x:c r="Z49" s="37" t="n">
        <x:f>SUMIFS('Balance_Sheet_Data'!$E$2:$E$630,'Balance_Sheet_Data'!$A$2:$A$630,Z$3,'Balance_Sheet_Data'!$C$2:$C$630,"2600")</x:f>
        <x:v>262500</x:v>
      </x:c>
      <x:c r="AA49" s="37" t="n">
        <x:f>SUMIFS('Balance_Sheet_Data'!$E$2:$E$630,'Balance_Sheet_Data'!$A$2:$A$630,AA$3,'Balance_Sheet_Data'!$C$2:$C$630,"2600")</x:f>
        <x:v>245000</x:v>
      </x:c>
      <x:c r="AB49" s="37" t="n">
        <x:f>SUMIFS('Balance_Sheet_Data'!$E$2:$E$630,'Balance_Sheet_Data'!$A$2:$A$630,AB$3,'Balance_Sheet_Data'!$C$2:$C$630,"2600")</x:f>
        <x:v>227500</x:v>
      </x:c>
      <x:c r="AC49" s="37" t="n">
        <x:f>SUMIFS('Balance_Sheet_Data'!$E$2:$E$630,'Balance_Sheet_Data'!$A$2:$A$630,AC$3,'Balance_Sheet_Data'!$C$2:$C$630,"2600")</x:f>
        <x:v>210000</x:v>
      </x:c>
      <x:c r="AD49" s="37" t="n">
        <x:f>SUMIFS('Balance_Sheet_Data'!$E$2:$E$630,'Balance_Sheet_Data'!$A$2:$A$630,AD$3,'Balance_Sheet_Data'!$C$2:$C$630,"2600")</x:f>
        <x:v>192500</x:v>
      </x:c>
      <x:c r="AE49" s="37" t="n">
        <x:f>SUMIFS('Balance_Sheet_Data'!$E$2:$E$630,'Balance_Sheet_Data'!$A$2:$A$630,AE$3,'Balance_Sheet_Data'!$C$2:$C$630,"2600")</x:f>
        <x:v>175000</x:v>
      </x:c>
      <x:c r="AF49" s="37" t="n">
        <x:f>SUMIFS('Balance_Sheet_Data'!$E$2:$E$630,'Balance_Sheet_Data'!$A$2:$A$630,AF$3,'Balance_Sheet_Data'!$C$2:$C$630,"2600")</x:f>
        <x:v>157500</x:v>
      </x:c>
      <x:c r="AG49" s="37" t="n">
        <x:f>SUMIFS('Balance_Sheet_Data'!$E$2:$E$630,'Balance_Sheet_Data'!$A$2:$A$630,AG$3,'Balance_Sheet_Data'!$C$2:$C$630,"2600")</x:f>
        <x:v>140000</x:v>
      </x:c>
      <x:c r="AH49" s="37" t="n">
        <x:f>SUMIFS('Balance_Sheet_Data'!$E$2:$E$630,'Balance_Sheet_Data'!$A$2:$A$630,AH$3,'Balance_Sheet_Data'!$C$2:$C$630,"2600")</x:f>
        <x:v>122500</x:v>
      </x:c>
      <x:c r="AI49" s="37" t="n">
        <x:f>SUMIFS('Balance_Sheet_Data'!$E$2:$E$630,'Balance_Sheet_Data'!$A$2:$A$630,AI$3,'Balance_Sheet_Data'!$C$2:$C$630,"2600")</x:f>
        <x:v>105000</x:v>
      </x:c>
      <x:c r="AJ49" s="37" t="n">
        <x:f>SUMIFS('Balance_Sheet_Data'!$E$2:$E$630,'Balance_Sheet_Data'!$A$2:$A$630,AJ$3,'Balance_Sheet_Data'!$C$2:$C$630,"2600")</x:f>
        <x:v>87500</x:v>
      </x:c>
      <x:c r="AK49" s="37" t="n">
        <x:f>SUMIFS('Balance_Sheet_Data'!$E$2:$E$630,'Balance_Sheet_Data'!$A$2:$A$630,AK$3,'Balance_Sheet_Data'!$C$2:$C$630,"2600")</x:f>
        <x:v>70000</x:v>
      </x:c>
    </x:row>
    <x:row r="50">
      <x:c r="A50" s="36" t="str">
        <x:v>Otros pasivos</x:v>
      </x:c>
      <x:c r="B50" s="37" t="n">
        <x:f>SUMIFS('Balance_Sheet_Data'!$E$2:$E$630,'Balance_Sheet_Data'!$A$2:$A$630,B$3,'Balance_Sheet_Data'!$C$2:$C$630,"2700")</x:f>
        <x:v>800000</x:v>
      </x:c>
      <x:c r="C50" s="37" t="n">
        <x:f>SUMIFS('Balance_Sheet_Data'!$E$2:$E$630,'Balance_Sheet_Data'!$A$2:$A$630,C$3,'Balance_Sheet_Data'!$C$2:$C$630,"2700")</x:f>
        <x:v>800000</x:v>
      </x:c>
      <x:c r="D50" s="37" t="n">
        <x:f>SUMIFS('Balance_Sheet_Data'!$E$2:$E$630,'Balance_Sheet_Data'!$A$2:$A$630,D$3,'Balance_Sheet_Data'!$C$2:$C$630,"2700")</x:f>
        <x:v>800000</x:v>
      </x:c>
      <x:c r="E50" s="37" t="n">
        <x:f>SUMIFS('Balance_Sheet_Data'!$E$2:$E$630,'Balance_Sheet_Data'!$A$2:$A$630,E$3,'Balance_Sheet_Data'!$C$2:$C$630,"2700")</x:f>
        <x:v>800000</x:v>
      </x:c>
      <x:c r="F50" s="37" t="n">
        <x:f>SUMIFS('Balance_Sheet_Data'!$E$2:$E$630,'Balance_Sheet_Data'!$A$2:$A$630,F$3,'Balance_Sheet_Data'!$C$2:$C$630,"2700")</x:f>
        <x:v>800000</x:v>
      </x:c>
      <x:c r="G50" s="37" t="n">
        <x:f>SUMIFS('Balance_Sheet_Data'!$E$2:$E$630,'Balance_Sheet_Data'!$A$2:$A$630,G$3,'Balance_Sheet_Data'!$C$2:$C$630,"2700")</x:f>
        <x:v>800000</x:v>
      </x:c>
      <x:c r="H50" s="37" t="n">
        <x:f>SUMIFS('Balance_Sheet_Data'!$E$2:$E$630,'Balance_Sheet_Data'!$A$2:$A$630,H$3,'Balance_Sheet_Data'!$C$2:$C$630,"2700")</x:f>
        <x:v>800000</x:v>
      </x:c>
      <x:c r="I50" s="37" t="n">
        <x:f>SUMIFS('Balance_Sheet_Data'!$E$2:$E$630,'Balance_Sheet_Data'!$A$2:$A$630,I$3,'Balance_Sheet_Data'!$C$2:$C$630,"2700")</x:f>
        <x:v>800000</x:v>
      </x:c>
      <x:c r="J50" s="37" t="n">
        <x:f>SUMIFS('Balance_Sheet_Data'!$E$2:$E$630,'Balance_Sheet_Data'!$A$2:$A$630,J$3,'Balance_Sheet_Data'!$C$2:$C$630,"2700")</x:f>
        <x:v>800000</x:v>
      </x:c>
      <x:c r="K50" s="37" t="n">
        <x:f>SUMIFS('Balance_Sheet_Data'!$E$2:$E$630,'Balance_Sheet_Data'!$A$2:$A$630,K$3,'Balance_Sheet_Data'!$C$2:$C$630,"2700")</x:f>
        <x:v>800000</x:v>
      </x:c>
      <x:c r="L50" s="37" t="n">
        <x:f>SUMIFS('Balance_Sheet_Data'!$E$2:$E$630,'Balance_Sheet_Data'!$A$2:$A$630,L$3,'Balance_Sheet_Data'!$C$2:$C$630,"2700")</x:f>
        <x:v>800000</x:v>
      </x:c>
      <x:c r="M50" s="37" t="n">
        <x:f>SUMIFS('Balance_Sheet_Data'!$E$2:$E$630,'Balance_Sheet_Data'!$A$2:$A$630,M$3,'Balance_Sheet_Data'!$C$2:$C$630,"2700")</x:f>
        <x:v>800000</x:v>
      </x:c>
      <x:c r="N50" s="37" t="n">
        <x:f>SUMIFS('Balance_Sheet_Data'!$E$2:$E$630,'Balance_Sheet_Data'!$A$2:$A$630,N$3,'Balance_Sheet_Data'!$C$2:$C$630,"2700")</x:f>
        <x:v>800000</x:v>
      </x:c>
      <x:c r="O50" s="37" t="n">
        <x:f>SUMIFS('Balance_Sheet_Data'!$E$2:$E$630,'Balance_Sheet_Data'!$A$2:$A$630,O$3,'Balance_Sheet_Data'!$C$2:$C$630,"2700")</x:f>
        <x:v>800000</x:v>
      </x:c>
      <x:c r="P50" s="37" t="n">
        <x:f>SUMIFS('Balance_Sheet_Data'!$E$2:$E$630,'Balance_Sheet_Data'!$A$2:$A$630,P$3,'Balance_Sheet_Data'!$C$2:$C$630,"2700")</x:f>
        <x:v>800000</x:v>
      </x:c>
      <x:c r="Q50" s="37" t="n">
        <x:f>SUMIFS('Balance_Sheet_Data'!$E$2:$E$630,'Balance_Sheet_Data'!$A$2:$A$630,Q$3,'Balance_Sheet_Data'!$C$2:$C$630,"2700")</x:f>
        <x:v>800000</x:v>
      </x:c>
      <x:c r="R50" s="37" t="n">
        <x:f>SUMIFS('Balance_Sheet_Data'!$E$2:$E$630,'Balance_Sheet_Data'!$A$2:$A$630,R$3,'Balance_Sheet_Data'!$C$2:$C$630,"2700")</x:f>
        <x:v>800000</x:v>
      </x:c>
      <x:c r="S50" s="37" t="n">
        <x:f>SUMIFS('Balance_Sheet_Data'!$E$2:$E$630,'Balance_Sheet_Data'!$A$2:$A$630,S$3,'Balance_Sheet_Data'!$C$2:$C$630,"2700")</x:f>
        <x:v>800000</x:v>
      </x:c>
      <x:c r="T50" s="37" t="n">
        <x:f>SUMIFS('Balance_Sheet_Data'!$E$2:$E$630,'Balance_Sheet_Data'!$A$2:$A$630,T$3,'Balance_Sheet_Data'!$C$2:$C$630,"2700")</x:f>
        <x:v>800000</x:v>
      </x:c>
      <x:c r="U50" s="37" t="n">
        <x:f>SUMIFS('Balance_Sheet_Data'!$E$2:$E$630,'Balance_Sheet_Data'!$A$2:$A$630,U$3,'Balance_Sheet_Data'!$C$2:$C$630,"2700")</x:f>
        <x:v>800000</x:v>
      </x:c>
      <x:c r="V50" s="37" t="n">
        <x:f>SUMIFS('Balance_Sheet_Data'!$E$2:$E$630,'Balance_Sheet_Data'!$A$2:$A$630,V$3,'Balance_Sheet_Data'!$C$2:$C$630,"2700")</x:f>
        <x:v>800000</x:v>
      </x:c>
      <x:c r="W50" s="37" t="n">
        <x:f>SUMIFS('Balance_Sheet_Data'!$E$2:$E$630,'Balance_Sheet_Data'!$A$2:$A$630,W$3,'Balance_Sheet_Data'!$C$2:$C$630,"2700")</x:f>
        <x:v>800000</x:v>
      </x:c>
      <x:c r="X50" s="37" t="n">
        <x:f>SUMIFS('Balance_Sheet_Data'!$E$2:$E$630,'Balance_Sheet_Data'!$A$2:$A$630,X$3,'Balance_Sheet_Data'!$C$2:$C$630,"2700")</x:f>
        <x:v>800000</x:v>
      </x:c>
      <x:c r="Y50" s="37" t="n">
        <x:f>SUMIFS('Balance_Sheet_Data'!$E$2:$E$630,'Balance_Sheet_Data'!$A$2:$A$630,Y$3,'Balance_Sheet_Data'!$C$2:$C$630,"2700")</x:f>
        <x:v>800000</x:v>
      </x:c>
      <x:c r="Z50" s="37" t="n">
        <x:f>SUMIFS('Balance_Sheet_Data'!$E$2:$E$630,'Balance_Sheet_Data'!$A$2:$A$630,Z$3,'Balance_Sheet_Data'!$C$2:$C$630,"2700")</x:f>
        <x:v>800000</x:v>
      </x:c>
      <x:c r="AA50" s="37" t="n">
        <x:f>SUMIFS('Balance_Sheet_Data'!$E$2:$E$630,'Balance_Sheet_Data'!$A$2:$A$630,AA$3,'Balance_Sheet_Data'!$C$2:$C$630,"2700")</x:f>
        <x:v>800000</x:v>
      </x:c>
      <x:c r="AB50" s="37" t="n">
        <x:f>SUMIFS('Balance_Sheet_Data'!$E$2:$E$630,'Balance_Sheet_Data'!$A$2:$A$630,AB$3,'Balance_Sheet_Data'!$C$2:$C$630,"2700")</x:f>
        <x:v>800000</x:v>
      </x:c>
      <x:c r="AC50" s="37" t="n">
        <x:f>SUMIFS('Balance_Sheet_Data'!$E$2:$E$630,'Balance_Sheet_Data'!$A$2:$A$630,AC$3,'Balance_Sheet_Data'!$C$2:$C$630,"2700")</x:f>
        <x:v>800000</x:v>
      </x:c>
      <x:c r="AD50" s="37" t="n">
        <x:f>SUMIFS('Balance_Sheet_Data'!$E$2:$E$630,'Balance_Sheet_Data'!$A$2:$A$630,AD$3,'Balance_Sheet_Data'!$C$2:$C$630,"2700")</x:f>
        <x:v>800000</x:v>
      </x:c>
      <x:c r="AE50" s="37" t="n">
        <x:f>SUMIFS('Balance_Sheet_Data'!$E$2:$E$630,'Balance_Sheet_Data'!$A$2:$A$630,AE$3,'Balance_Sheet_Data'!$C$2:$C$630,"2700")</x:f>
        <x:v>800000</x:v>
      </x:c>
      <x:c r="AF50" s="37" t="n">
        <x:f>SUMIFS('Balance_Sheet_Data'!$E$2:$E$630,'Balance_Sheet_Data'!$A$2:$A$630,AF$3,'Balance_Sheet_Data'!$C$2:$C$630,"2700")</x:f>
        <x:v>800000</x:v>
      </x:c>
      <x:c r="AG50" s="37" t="n">
        <x:f>SUMIFS('Balance_Sheet_Data'!$E$2:$E$630,'Balance_Sheet_Data'!$A$2:$A$630,AG$3,'Balance_Sheet_Data'!$C$2:$C$630,"2700")</x:f>
        <x:v>800000</x:v>
      </x:c>
      <x:c r="AH50" s="37" t="n">
        <x:f>SUMIFS('Balance_Sheet_Data'!$E$2:$E$630,'Balance_Sheet_Data'!$A$2:$A$630,AH$3,'Balance_Sheet_Data'!$C$2:$C$630,"2700")</x:f>
        <x:v>800000</x:v>
      </x:c>
      <x:c r="AI50" s="37" t="n">
        <x:f>SUMIFS('Balance_Sheet_Data'!$E$2:$E$630,'Balance_Sheet_Data'!$A$2:$A$630,AI$3,'Balance_Sheet_Data'!$C$2:$C$630,"2700")</x:f>
        <x:v>800000</x:v>
      </x:c>
      <x:c r="AJ50" s="37" t="n">
        <x:f>SUMIFS('Balance_Sheet_Data'!$E$2:$E$630,'Balance_Sheet_Data'!$A$2:$A$630,AJ$3,'Balance_Sheet_Data'!$C$2:$C$630,"2700")</x:f>
        <x:v>800000</x:v>
      </x:c>
      <x:c r="AK50" s="37" t="n">
        <x:f>SUMIFS('Balance_Sheet_Data'!$E$2:$E$630,'Balance_Sheet_Data'!$A$2:$A$630,AK$3,'Balance_Sheet_Data'!$C$2:$C$630,"2700")</x:f>
        <x:v>800000</x:v>
      </x:c>
    </x:row>
    <x:row r="51">
      <x:c r="A51" s="38" t="str">
        <x:v>TOTAL PASIVO</x:v>
      </x:c>
      <x:c r="B51" s="39" t="n">
        <x:f>SUM(B47:B50)</x:f>
        <x:v>11188654</x:v>
      </x:c>
      <x:c r="C51" s="39" t="n">
        <x:f>SUM(C47:C50)</x:f>
        <x:v>11500109</x:v>
      </x:c>
      <x:c r="D51" s="39" t="n">
        <x:f>SUM(D47:D50)</x:f>
        <x:v>11480613</x:v>
      </x:c>
      <x:c r="E51" s="39" t="n">
        <x:f>SUM(E47:E50)</x:f>
        <x:v>11511608</x:v>
      </x:c>
      <x:c r="F51" s="39" t="n">
        <x:f>SUM(F47:F50)</x:f>
        <x:v>11590003</x:v>
      </x:c>
      <x:c r="G51" s="39" t="n">
        <x:f>SUM(G47:G50)</x:f>
        <x:v>11662609</x:v>
      </x:c>
      <x:c r="H51" s="39" t="n">
        <x:f>SUM(H47:H50)</x:f>
        <x:v>11284002</x:v>
      </x:c>
      <x:c r="I51" s="39" t="n">
        <x:f>SUM(I47:I50)</x:f>
        <x:v>11084332</x:v>
      </x:c>
      <x:c r="J51" s="39" t="n">
        <x:f>SUM(J47:J50)</x:f>
        <x:v>11609042</x:v>
      </x:c>
      <x:c r="K51" s="39" t="n">
        <x:f>SUM(K47:K50)</x:f>
        <x:v>11629695</x:v>
      </x:c>
      <x:c r="L51" s="39" t="n">
        <x:f>SUM(L47:L50)</x:f>
        <x:v>11913806</x:v>
      </x:c>
      <x:c r="M51" s="39" t="n">
        <x:f>SUM(M47:M50)</x:f>
        <x:v>12008119</x:v>
      </x:c>
      <x:c r="N51" s="39" t="n">
        <x:f>SUM(N47:N50)</x:f>
        <x:v>10729297</x:v>
      </x:c>
      <x:c r="O51" s="39" t="n">
        <x:f>SUM(O47:O50)</x:f>
        <x:v>11156505</x:v>
      </x:c>
      <x:c r="P51" s="39" t="n">
        <x:f>SUM(P47:P50)</x:f>
        <x:v>11001858</x:v>
      </x:c>
      <x:c r="Q51" s="39" t="n">
        <x:f>SUM(Q47:Q50)</x:f>
        <x:v>10454204</x:v>
      </x:c>
      <x:c r="R51" s="39" t="n">
        <x:f>SUM(R47:R50)</x:f>
        <x:v>11592744</x:v>
      </x:c>
      <x:c r="S51" s="39" t="n">
        <x:f>SUM(S47:S50)</x:f>
        <x:v>11583672</x:v>
      </x:c>
      <x:c r="T51" s="39" t="n">
        <x:f>SUM(T47:T50)</x:f>
        <x:v>11461941</x:v>
      </x:c>
      <x:c r="U51" s="39" t="n">
        <x:f>SUM(U47:U50)</x:f>
        <x:v>11178971</x:v>
      </x:c>
      <x:c r="V51" s="39" t="n">
        <x:f>SUM(V47:V50)</x:f>
        <x:v>12053794</x:v>
      </x:c>
      <x:c r="W51" s="39" t="n">
        <x:f>SUM(W47:W50)</x:f>
        <x:v>12039966</x:v>
      </x:c>
      <x:c r="X51" s="39" t="n">
        <x:f>SUM(X47:X50)</x:f>
        <x:v>12306139</x:v>
      </x:c>
      <x:c r="Y51" s="39" t="n">
        <x:f>SUM(Y47:Y50)</x:f>
        <x:v>12388297</x:v>
      </x:c>
      <x:c r="Z51" s="39" t="n">
        <x:f>SUM(Z47:Z50)</x:f>
        <x:v>11073781</x:v>
      </x:c>
      <x:c r="AA51" s="39" t="n">
        <x:f>SUM(AA47:AA50)</x:f>
        <x:v>11498215</x:v>
      </x:c>
      <x:c r="AB51" s="39" t="n">
        <x:f>SUM(AB47:AB50)</x:f>
        <x:v>11704100</x:v>
      </x:c>
      <x:c r="AC51" s="39" t="n">
        <x:f>SUM(AC47:AC50)</x:f>
        <x:v>11659466</x:v>
      </x:c>
      <x:c r="AD51" s="39" t="n">
        <x:f>SUM(AD47:AD50)</x:f>
        <x:v>11730560</x:v>
      </x:c>
      <x:c r="AE51" s="39" t="n">
        <x:f>SUM(AE47:AE50)</x:f>
        <x:v>11817863</x:v>
      </x:c>
      <x:c r="AF51" s="39" t="n">
        <x:f>SUM(AF47:AF50)</x:f>
        <x:v>11372971</x:v>
      </x:c>
      <x:c r="AG51" s="39" t="n">
        <x:f>SUM(AG47:AG50)</x:f>
        <x:v>11141314</x:v>
      </x:c>
      <x:c r="AH51" s="39" t="n">
        <x:f>SUM(AH47:AH50)</x:f>
        <x:v>11769053</x:v>
      </x:c>
      <x:c r="AI51" s="39" t="n">
        <x:f>SUM(AI47:AI50)</x:f>
        <x:v>11806645</x:v>
      </x:c>
      <x:c r="AJ51" s="39" t="n">
        <x:f>SUM(AJ47:AJ50)</x:f>
        <x:v>12154427</x:v>
      </x:c>
      <x:c r="AK51" s="39" t="n">
        <x:f>SUM(AK47:AK50)</x:f>
        <x:v>12063565</x:v>
      </x:c>
    </x:row>
    <x:row r="52">
      <x:c r="A52" s="36" t="str">
        <x:v>Capital social</x:v>
      </x:c>
      <x:c r="B52" s="37" t="n">
        <x:f>SUMIFS('Balance_Sheet_Data'!$E$2:$E$630,'Balance_Sheet_Data'!$A$2:$A$630,B$3,'Balance_Sheet_Data'!$C$2:$C$630,"3000")</x:f>
        <x:v>5000000</x:v>
      </x:c>
      <x:c r="C52" s="37" t="n">
        <x:f>SUMIFS('Balance_Sheet_Data'!$E$2:$E$630,'Balance_Sheet_Data'!$A$2:$A$630,C$3,'Balance_Sheet_Data'!$C$2:$C$630,"3000")</x:f>
        <x:v>5000000</x:v>
      </x:c>
      <x:c r="D52" s="37" t="n">
        <x:f>SUMIFS('Balance_Sheet_Data'!$E$2:$E$630,'Balance_Sheet_Data'!$A$2:$A$630,D$3,'Balance_Sheet_Data'!$C$2:$C$630,"3000")</x:f>
        <x:v>5000000</x:v>
      </x:c>
      <x:c r="E52" s="37" t="n">
        <x:f>SUMIFS('Balance_Sheet_Data'!$E$2:$E$630,'Balance_Sheet_Data'!$A$2:$A$630,E$3,'Balance_Sheet_Data'!$C$2:$C$630,"3000")</x:f>
        <x:v>5000000</x:v>
      </x:c>
      <x:c r="F52" s="37" t="n">
        <x:f>SUMIFS('Balance_Sheet_Data'!$E$2:$E$630,'Balance_Sheet_Data'!$A$2:$A$630,F$3,'Balance_Sheet_Data'!$C$2:$C$630,"3000")</x:f>
        <x:v>5000000</x:v>
      </x:c>
      <x:c r="G52" s="37" t="n">
        <x:f>SUMIFS('Balance_Sheet_Data'!$E$2:$E$630,'Balance_Sheet_Data'!$A$2:$A$630,G$3,'Balance_Sheet_Data'!$C$2:$C$630,"3000")</x:f>
        <x:v>5000000</x:v>
      </x:c>
      <x:c r="H52" s="37" t="n">
        <x:f>SUMIFS('Balance_Sheet_Data'!$E$2:$E$630,'Balance_Sheet_Data'!$A$2:$A$630,H$3,'Balance_Sheet_Data'!$C$2:$C$630,"3000")</x:f>
        <x:v>5000000</x:v>
      </x:c>
      <x:c r="I52" s="37" t="n">
        <x:f>SUMIFS('Balance_Sheet_Data'!$E$2:$E$630,'Balance_Sheet_Data'!$A$2:$A$630,I$3,'Balance_Sheet_Data'!$C$2:$C$630,"3000")</x:f>
        <x:v>5000000</x:v>
      </x:c>
      <x:c r="J52" s="37" t="n">
        <x:f>SUMIFS('Balance_Sheet_Data'!$E$2:$E$630,'Balance_Sheet_Data'!$A$2:$A$630,J$3,'Balance_Sheet_Data'!$C$2:$C$630,"3000")</x:f>
        <x:v>5000000</x:v>
      </x:c>
      <x:c r="K52" s="37" t="n">
        <x:f>SUMIFS('Balance_Sheet_Data'!$E$2:$E$630,'Balance_Sheet_Data'!$A$2:$A$630,K$3,'Balance_Sheet_Data'!$C$2:$C$630,"3000")</x:f>
        <x:v>5000000</x:v>
      </x:c>
      <x:c r="L52" s="37" t="n">
        <x:f>SUMIFS('Balance_Sheet_Data'!$E$2:$E$630,'Balance_Sheet_Data'!$A$2:$A$630,L$3,'Balance_Sheet_Data'!$C$2:$C$630,"3000")</x:f>
        <x:v>5000000</x:v>
      </x:c>
      <x:c r="M52" s="37" t="n">
        <x:f>SUMIFS('Balance_Sheet_Data'!$E$2:$E$630,'Balance_Sheet_Data'!$A$2:$A$630,M$3,'Balance_Sheet_Data'!$C$2:$C$630,"3000")</x:f>
        <x:v>5000000</x:v>
      </x:c>
      <x:c r="N52" s="37" t="n">
        <x:f>SUMIFS('Balance_Sheet_Data'!$E$2:$E$630,'Balance_Sheet_Data'!$A$2:$A$630,N$3,'Balance_Sheet_Data'!$C$2:$C$630,"3000")</x:f>
        <x:v>5000000</x:v>
      </x:c>
      <x:c r="O52" s="37" t="n">
        <x:f>SUMIFS('Balance_Sheet_Data'!$E$2:$E$630,'Balance_Sheet_Data'!$A$2:$A$630,O$3,'Balance_Sheet_Data'!$C$2:$C$630,"3000")</x:f>
        <x:v>5000000</x:v>
      </x:c>
      <x:c r="P52" s="37" t="n">
        <x:f>SUMIFS('Balance_Sheet_Data'!$E$2:$E$630,'Balance_Sheet_Data'!$A$2:$A$630,P$3,'Balance_Sheet_Data'!$C$2:$C$630,"3000")</x:f>
        <x:v>5000000</x:v>
      </x:c>
      <x:c r="Q52" s="37" t="n">
        <x:f>SUMIFS('Balance_Sheet_Data'!$E$2:$E$630,'Balance_Sheet_Data'!$A$2:$A$630,Q$3,'Balance_Sheet_Data'!$C$2:$C$630,"3000")</x:f>
        <x:v>5000000</x:v>
      </x:c>
      <x:c r="R52" s="37" t="n">
        <x:f>SUMIFS('Balance_Sheet_Data'!$E$2:$E$630,'Balance_Sheet_Data'!$A$2:$A$630,R$3,'Balance_Sheet_Data'!$C$2:$C$630,"3000")</x:f>
        <x:v>5000000</x:v>
      </x:c>
      <x:c r="S52" s="37" t="n">
        <x:f>SUMIFS('Balance_Sheet_Data'!$E$2:$E$630,'Balance_Sheet_Data'!$A$2:$A$630,S$3,'Balance_Sheet_Data'!$C$2:$C$630,"3000")</x:f>
        <x:v>5000000</x:v>
      </x:c>
      <x:c r="T52" s="37" t="n">
        <x:f>SUMIFS('Balance_Sheet_Data'!$E$2:$E$630,'Balance_Sheet_Data'!$A$2:$A$630,T$3,'Balance_Sheet_Data'!$C$2:$C$630,"3000")</x:f>
        <x:v>5000000</x:v>
      </x:c>
      <x:c r="U52" s="37" t="n">
        <x:f>SUMIFS('Balance_Sheet_Data'!$E$2:$E$630,'Balance_Sheet_Data'!$A$2:$A$630,U$3,'Balance_Sheet_Data'!$C$2:$C$630,"3000")</x:f>
        <x:v>5000000</x:v>
      </x:c>
      <x:c r="V52" s="37" t="n">
        <x:f>SUMIFS('Balance_Sheet_Data'!$E$2:$E$630,'Balance_Sheet_Data'!$A$2:$A$630,V$3,'Balance_Sheet_Data'!$C$2:$C$630,"3000")</x:f>
        <x:v>5000000</x:v>
      </x:c>
      <x:c r="W52" s="37" t="n">
        <x:f>SUMIFS('Balance_Sheet_Data'!$E$2:$E$630,'Balance_Sheet_Data'!$A$2:$A$630,W$3,'Balance_Sheet_Data'!$C$2:$C$630,"3000")</x:f>
        <x:v>5000000</x:v>
      </x:c>
      <x:c r="X52" s="37" t="n">
        <x:f>SUMIFS('Balance_Sheet_Data'!$E$2:$E$630,'Balance_Sheet_Data'!$A$2:$A$630,X$3,'Balance_Sheet_Data'!$C$2:$C$630,"3000")</x:f>
        <x:v>5000000</x:v>
      </x:c>
      <x:c r="Y52" s="37" t="n">
        <x:f>SUMIFS('Balance_Sheet_Data'!$E$2:$E$630,'Balance_Sheet_Data'!$A$2:$A$630,Y$3,'Balance_Sheet_Data'!$C$2:$C$630,"3000")</x:f>
        <x:v>5000000</x:v>
      </x:c>
      <x:c r="Z52" s="37" t="n">
        <x:f>SUMIFS('Balance_Sheet_Data'!$E$2:$E$630,'Balance_Sheet_Data'!$A$2:$A$630,Z$3,'Balance_Sheet_Data'!$C$2:$C$630,"3000")</x:f>
        <x:v>5000000</x:v>
      </x:c>
      <x:c r="AA52" s="37" t="n">
        <x:f>SUMIFS('Balance_Sheet_Data'!$E$2:$E$630,'Balance_Sheet_Data'!$A$2:$A$630,AA$3,'Balance_Sheet_Data'!$C$2:$C$630,"3000")</x:f>
        <x:v>5000000</x:v>
      </x:c>
      <x:c r="AB52" s="37" t="n">
        <x:f>SUMIFS('Balance_Sheet_Data'!$E$2:$E$630,'Balance_Sheet_Data'!$A$2:$A$630,AB$3,'Balance_Sheet_Data'!$C$2:$C$630,"3000")</x:f>
        <x:v>5000000</x:v>
      </x:c>
      <x:c r="AC52" s="37" t="n">
        <x:f>SUMIFS('Balance_Sheet_Data'!$E$2:$E$630,'Balance_Sheet_Data'!$A$2:$A$630,AC$3,'Balance_Sheet_Data'!$C$2:$C$630,"3000")</x:f>
        <x:v>5000000</x:v>
      </x:c>
      <x:c r="AD52" s="37" t="n">
        <x:f>SUMIFS('Balance_Sheet_Data'!$E$2:$E$630,'Balance_Sheet_Data'!$A$2:$A$630,AD$3,'Balance_Sheet_Data'!$C$2:$C$630,"3000")</x:f>
        <x:v>5000000</x:v>
      </x:c>
      <x:c r="AE52" s="37" t="n">
        <x:f>SUMIFS('Balance_Sheet_Data'!$E$2:$E$630,'Balance_Sheet_Data'!$A$2:$A$630,AE$3,'Balance_Sheet_Data'!$C$2:$C$630,"3000")</x:f>
        <x:v>5000000</x:v>
      </x:c>
      <x:c r="AF52" s="37" t="n">
        <x:f>SUMIFS('Balance_Sheet_Data'!$E$2:$E$630,'Balance_Sheet_Data'!$A$2:$A$630,AF$3,'Balance_Sheet_Data'!$C$2:$C$630,"3000")</x:f>
        <x:v>5000000</x:v>
      </x:c>
      <x:c r="AG52" s="37" t="n">
        <x:f>SUMIFS('Balance_Sheet_Data'!$E$2:$E$630,'Balance_Sheet_Data'!$A$2:$A$630,AG$3,'Balance_Sheet_Data'!$C$2:$C$630,"3000")</x:f>
        <x:v>5000000</x:v>
      </x:c>
      <x:c r="AH52" s="37" t="n">
        <x:f>SUMIFS('Balance_Sheet_Data'!$E$2:$E$630,'Balance_Sheet_Data'!$A$2:$A$630,AH$3,'Balance_Sheet_Data'!$C$2:$C$630,"3000")</x:f>
        <x:v>5000000</x:v>
      </x:c>
      <x:c r="AI52" s="37" t="n">
        <x:f>SUMIFS('Balance_Sheet_Data'!$E$2:$E$630,'Balance_Sheet_Data'!$A$2:$A$630,AI$3,'Balance_Sheet_Data'!$C$2:$C$630,"3000")</x:f>
        <x:v>5000000</x:v>
      </x:c>
      <x:c r="AJ52" s="37" t="n">
        <x:f>SUMIFS('Balance_Sheet_Data'!$E$2:$E$630,'Balance_Sheet_Data'!$A$2:$A$630,AJ$3,'Balance_Sheet_Data'!$C$2:$C$630,"3000")</x:f>
        <x:v>5000000</x:v>
      </x:c>
      <x:c r="AK52" s="37" t="n">
        <x:f>SUMIFS('Balance_Sheet_Data'!$E$2:$E$630,'Balance_Sheet_Data'!$A$2:$A$630,AK$3,'Balance_Sheet_Data'!$C$2:$C$630,"3000")</x:f>
        <x:v>5000000</x:v>
      </x:c>
    </x:row>
    <x:row r="53">
      <x:c r="A53" s="36" t="str">
        <x:v>Resultados acumulados</x:v>
      </x:c>
      <x:c r="B53" s="37" t="n">
        <x:f>SUMIFS('Balance_Sheet_Data'!$E$2:$E$630,'Balance_Sheet_Data'!$A$2:$A$630,B$3,'Balance_Sheet_Data'!$C$2:$C$630,"3100")</x:f>
        <x:v>4414282</x:v>
      </x:c>
      <x:c r="C53" s="37" t="n">
        <x:f>SUMIFS('Balance_Sheet_Data'!$E$2:$E$630,'Balance_Sheet_Data'!$A$2:$A$630,C$3,'Balance_Sheet_Data'!$C$2:$C$630,"3100")</x:f>
        <x:v>4639553</x:v>
      </x:c>
      <x:c r="D53" s="37" t="n">
        <x:f>SUMIFS('Balance_Sheet_Data'!$E$2:$E$630,'Balance_Sheet_Data'!$A$2:$A$630,D$3,'Balance_Sheet_Data'!$C$2:$C$630,"3100")</x:f>
        <x:v>4891288</x:v>
      </x:c>
      <x:c r="E53" s="37" t="n">
        <x:f>SUMIFS('Balance_Sheet_Data'!$E$2:$E$630,'Balance_Sheet_Data'!$A$2:$A$630,E$3,'Balance_Sheet_Data'!$C$2:$C$630,"3100")</x:f>
        <x:v>5136161</x:v>
      </x:c>
      <x:c r="F53" s="37" t="n">
        <x:f>SUMIFS('Balance_Sheet_Data'!$E$2:$E$630,'Balance_Sheet_Data'!$A$2:$A$630,F$3,'Balance_Sheet_Data'!$C$2:$C$630,"3100")</x:f>
        <x:v>5397280</x:v>
      </x:c>
      <x:c r="G53" s="37" t="n">
        <x:f>SUMIFS('Balance_Sheet_Data'!$E$2:$E$630,'Balance_Sheet_Data'!$A$2:$A$630,G$3,'Balance_Sheet_Data'!$C$2:$C$630,"3100")</x:f>
        <x:v>5667390</x:v>
      </x:c>
      <x:c r="H53" s="37" t="n">
        <x:f>SUMIFS('Balance_Sheet_Data'!$E$2:$E$630,'Balance_Sheet_Data'!$A$2:$A$630,H$3,'Balance_Sheet_Data'!$C$2:$C$630,"3100")</x:f>
        <x:v>5911430</x:v>
      </x:c>
      <x:c r="I53" s="37" t="n">
        <x:f>SUMIFS('Balance_Sheet_Data'!$E$2:$E$630,'Balance_Sheet_Data'!$A$2:$A$630,I$3,'Balance_Sheet_Data'!$C$2:$C$630,"3100")</x:f>
        <x:v>6137418</x:v>
      </x:c>
      <x:c r="J53" s="37" t="n">
        <x:f>SUMIFS('Balance_Sheet_Data'!$E$2:$E$630,'Balance_Sheet_Data'!$A$2:$A$630,J$3,'Balance_Sheet_Data'!$C$2:$C$630,"3100")</x:f>
        <x:v>6416126</x:v>
      </x:c>
      <x:c r="K53" s="37" t="n">
        <x:f>SUMIFS('Balance_Sheet_Data'!$E$2:$E$630,'Balance_Sheet_Data'!$A$2:$A$630,K$3,'Balance_Sheet_Data'!$C$2:$C$630,"3100")</x:f>
        <x:v>6707631</x:v>
      </x:c>
      <x:c r="L53" s="37" t="n">
        <x:f>SUMIFS('Balance_Sheet_Data'!$E$2:$E$630,'Balance_Sheet_Data'!$A$2:$A$630,L$3,'Balance_Sheet_Data'!$C$2:$C$630,"3100")</x:f>
        <x:v>7016620</x:v>
      </x:c>
      <x:c r="M53" s="37" t="n">
        <x:f>SUMIFS('Balance_Sheet_Data'!$E$2:$E$630,'Balance_Sheet_Data'!$A$2:$A$630,M$3,'Balance_Sheet_Data'!$C$2:$C$630,"3100")</x:f>
        <x:v>7209053</x:v>
      </x:c>
      <x:c r="N53" s="37" t="n">
        <x:f>SUMIFS('Balance_Sheet_Data'!$E$2:$E$630,'Balance_Sheet_Data'!$A$2:$A$630,N$3,'Balance_Sheet_Data'!$C$2:$C$630,"3100")</x:f>
        <x:v>7429986</x:v>
      </x:c>
      <x:c r="O53" s="37" t="n">
        <x:f>SUMIFS('Balance_Sheet_Data'!$E$2:$E$630,'Balance_Sheet_Data'!$A$2:$A$630,O$3,'Balance_Sheet_Data'!$C$2:$C$630,"3100")</x:f>
        <x:v>7664215</x:v>
      </x:c>
      <x:c r="P53" s="37" t="n">
        <x:f>SUMIFS('Balance_Sheet_Data'!$E$2:$E$630,'Balance_Sheet_Data'!$A$2:$A$630,P$3,'Balance_Sheet_Data'!$C$2:$C$630,"3100")</x:f>
        <x:v>7926791</x:v>
      </x:c>
      <x:c r="Q53" s="37" t="n">
        <x:f>SUMIFS('Balance_Sheet_Data'!$E$2:$E$630,'Balance_Sheet_Data'!$A$2:$A$630,Q$3,'Balance_Sheet_Data'!$C$2:$C$630,"3100")</x:f>
        <x:v>8117227</x:v>
      </x:c>
      <x:c r="R53" s="37" t="n">
        <x:f>SUMIFS('Balance_Sheet_Data'!$E$2:$E$630,'Balance_Sheet_Data'!$A$2:$A$630,R$3,'Balance_Sheet_Data'!$C$2:$C$630,"3100")</x:f>
        <x:v>8319473</x:v>
      </x:c>
      <x:c r="S53" s="37" t="n">
        <x:f>SUMIFS('Balance_Sheet_Data'!$E$2:$E$630,'Balance_Sheet_Data'!$A$2:$A$630,S$3,'Balance_Sheet_Data'!$C$2:$C$630,"3100")</x:f>
        <x:v>8466759</x:v>
      </x:c>
      <x:c r="T53" s="37" t="n">
        <x:f>SUMIFS('Balance_Sheet_Data'!$E$2:$E$630,'Balance_Sheet_Data'!$A$2:$A$630,T$3,'Balance_Sheet_Data'!$C$2:$C$630,"3100")</x:f>
        <x:v>8670133</x:v>
      </x:c>
      <x:c r="U53" s="37" t="n">
        <x:f>SUMIFS('Balance_Sheet_Data'!$E$2:$E$630,'Balance_Sheet_Data'!$A$2:$A$630,U$3,'Balance_Sheet_Data'!$C$2:$C$630,"3100")</x:f>
        <x:v>8893821</x:v>
      </x:c>
      <x:c r="V53" s="37" t="n">
        <x:f>SUMIFS('Balance_Sheet_Data'!$E$2:$E$630,'Balance_Sheet_Data'!$A$2:$A$630,V$3,'Balance_Sheet_Data'!$C$2:$C$630,"3100")</x:f>
        <x:v>9193796</x:v>
      </x:c>
      <x:c r="W53" s="37" t="n">
        <x:f>SUMIFS('Balance_Sheet_Data'!$E$2:$E$630,'Balance_Sheet_Data'!$A$2:$A$630,W$3,'Balance_Sheet_Data'!$C$2:$C$630,"3100")</x:f>
        <x:v>9484408</x:v>
      </x:c>
      <x:c r="X53" s="37" t="n">
        <x:f>SUMIFS('Balance_Sheet_Data'!$E$2:$E$630,'Balance_Sheet_Data'!$A$2:$A$630,X$3,'Balance_Sheet_Data'!$C$2:$C$630,"3100")</x:f>
        <x:v>9791281</x:v>
      </x:c>
      <x:c r="Y53" s="37" t="n">
        <x:f>SUMIFS('Balance_Sheet_Data'!$E$2:$E$630,'Balance_Sheet_Data'!$A$2:$A$630,Y$3,'Balance_Sheet_Data'!$C$2:$C$630,"3100")</x:f>
        <x:v>9931438</x:v>
      </x:c>
      <x:c r="Z53" s="37" t="n">
        <x:f>SUMIFS('Balance_Sheet_Data'!$E$2:$E$630,'Balance_Sheet_Data'!$A$2:$A$630,Z$3,'Balance_Sheet_Data'!$C$2:$C$630,"3100")</x:f>
        <x:v>10135077</x:v>
      </x:c>
      <x:c r="AA53" s="37" t="n">
        <x:f>SUMIFS('Balance_Sheet_Data'!$E$2:$E$630,'Balance_Sheet_Data'!$A$2:$A$630,AA$3,'Balance_Sheet_Data'!$C$2:$C$630,"3100")</x:f>
        <x:v>10351918</x:v>
      </x:c>
      <x:c r="AB53" s="37" t="n">
        <x:f>SUMIFS('Balance_Sheet_Data'!$E$2:$E$630,'Balance_Sheet_Data'!$A$2:$A$630,AB$3,'Balance_Sheet_Data'!$C$2:$C$630,"3100")</x:f>
        <x:v>10612438</x:v>
      </x:c>
      <x:c r="AC53" s="37" t="n">
        <x:f>SUMIFS('Balance_Sheet_Data'!$E$2:$E$630,'Balance_Sheet_Data'!$A$2:$A$630,AC$3,'Balance_Sheet_Data'!$C$2:$C$630,"3100")</x:f>
        <x:v>10896452</x:v>
      </x:c>
      <x:c r="AD53" s="37" t="n">
        <x:f>SUMIFS('Balance_Sheet_Data'!$E$2:$E$630,'Balance_Sheet_Data'!$A$2:$A$630,AD$3,'Balance_Sheet_Data'!$C$2:$C$630,"3100")</x:f>
        <x:v>11200361</x:v>
      </x:c>
      <x:c r="AE53" s="37" t="n">
        <x:f>SUMIFS('Balance_Sheet_Data'!$E$2:$E$630,'Balance_Sheet_Data'!$A$2:$A$630,AE$3,'Balance_Sheet_Data'!$C$2:$C$630,"3100")</x:f>
        <x:v>11515234</x:v>
      </x:c>
      <x:c r="AF53" s="37" t="n">
        <x:f>SUMIFS('Balance_Sheet_Data'!$E$2:$E$630,'Balance_Sheet_Data'!$A$2:$A$630,AF$3,'Balance_Sheet_Data'!$C$2:$C$630,"3100")</x:f>
        <x:v>11798070</x:v>
      </x:c>
      <x:c r="AG53" s="37" t="n">
        <x:f>SUMIFS('Balance_Sheet_Data'!$E$2:$E$630,'Balance_Sheet_Data'!$A$2:$A$630,AG$3,'Balance_Sheet_Data'!$C$2:$C$630,"3100")</x:f>
        <x:v>12058762</x:v>
      </x:c>
      <x:c r="AH53" s="37" t="n">
        <x:f>SUMIFS('Balance_Sheet_Data'!$E$2:$E$630,'Balance_Sheet_Data'!$A$2:$A$630,AH$3,'Balance_Sheet_Data'!$C$2:$C$630,"3100")</x:f>
        <x:v>12384365</x:v>
      </x:c>
      <x:c r="AI53" s="37" t="n">
        <x:f>SUMIFS('Balance_Sheet_Data'!$E$2:$E$630,'Balance_Sheet_Data'!$A$2:$A$630,AI$3,'Balance_Sheet_Data'!$C$2:$C$630,"3100")</x:f>
        <x:v>12725733</x:v>
      </x:c>
      <x:c r="AJ53" s="37" t="n">
        <x:f>SUMIFS('Balance_Sheet_Data'!$E$2:$E$630,'Balance_Sheet_Data'!$A$2:$A$630,AJ$3,'Balance_Sheet_Data'!$C$2:$C$630,"3100")</x:f>
        <x:v>13088914</x:v>
      </x:c>
      <x:c r="AK53" s="37" t="n">
        <x:f>SUMIFS('Balance_Sheet_Data'!$E$2:$E$630,'Balance_Sheet_Data'!$A$2:$A$630,AK$3,'Balance_Sheet_Data'!$C$2:$C$630,"3100")</x:f>
        <x:v>13243605</x:v>
      </x:c>
    </x:row>
    <x:row r="54">
      <x:c r="A54" s="38" t="str">
        <x:v>TOTAL PATRIMONIO NETO</x:v>
      </x:c>
      <x:c r="B54" s="39" t="n">
        <x:f>SUM(B52:B53)</x:f>
        <x:v>9414282</x:v>
      </x:c>
      <x:c r="C54" s="39" t="n">
        <x:f>SUM(C52:C53)</x:f>
        <x:v>9639553</x:v>
      </x:c>
      <x:c r="D54" s="39" t="n">
        <x:f>SUM(D52:D53)</x:f>
        <x:v>9891288</x:v>
      </x:c>
      <x:c r="E54" s="39" t="n">
        <x:f>SUM(E52:E53)</x:f>
        <x:v>10136161</x:v>
      </x:c>
      <x:c r="F54" s="39" t="n">
        <x:f>SUM(F52:F53)</x:f>
        <x:v>10397280</x:v>
      </x:c>
      <x:c r="G54" s="39" t="n">
        <x:f>SUM(G52:G53)</x:f>
        <x:v>10667390</x:v>
      </x:c>
      <x:c r="H54" s="39" t="n">
        <x:f>SUM(H52:H53)</x:f>
        <x:v>10911430</x:v>
      </x:c>
      <x:c r="I54" s="39" t="n">
        <x:f>SUM(I52:I53)</x:f>
        <x:v>11137418</x:v>
      </x:c>
      <x:c r="J54" s="39" t="n">
        <x:f>SUM(J52:J53)</x:f>
        <x:v>11416126</x:v>
      </x:c>
      <x:c r="K54" s="39" t="n">
        <x:f>SUM(K52:K53)</x:f>
        <x:v>11707631</x:v>
      </x:c>
      <x:c r="L54" s="39" t="n">
        <x:f>SUM(L52:L53)</x:f>
        <x:v>12016620</x:v>
      </x:c>
      <x:c r="M54" s="39" t="n">
        <x:f>SUM(M52:M53)</x:f>
        <x:v>12209053</x:v>
      </x:c>
      <x:c r="N54" s="39" t="n">
        <x:f>SUM(N52:N53)</x:f>
        <x:v>12429986</x:v>
      </x:c>
      <x:c r="O54" s="39" t="n">
        <x:f>SUM(O52:O53)</x:f>
        <x:v>12664215</x:v>
      </x:c>
      <x:c r="P54" s="39" t="n">
        <x:f>SUM(P52:P53)</x:f>
        <x:v>12926791</x:v>
      </x:c>
      <x:c r="Q54" s="39" t="n">
        <x:f>SUM(Q52:Q53)</x:f>
        <x:v>13117227</x:v>
      </x:c>
      <x:c r="R54" s="39" t="n">
        <x:f>SUM(R52:R53)</x:f>
        <x:v>13319473</x:v>
      </x:c>
      <x:c r="S54" s="39" t="n">
        <x:f>SUM(S52:S53)</x:f>
        <x:v>13466759</x:v>
      </x:c>
      <x:c r="T54" s="39" t="n">
        <x:f>SUM(T52:T53)</x:f>
        <x:v>13670133</x:v>
      </x:c>
      <x:c r="U54" s="39" t="n">
        <x:f>SUM(U52:U53)</x:f>
        <x:v>13893821</x:v>
      </x:c>
      <x:c r="V54" s="39" t="n">
        <x:f>SUM(V52:V53)</x:f>
        <x:v>14193796</x:v>
      </x:c>
      <x:c r="W54" s="39" t="n">
        <x:f>SUM(W52:W53)</x:f>
        <x:v>14484408</x:v>
      </x:c>
      <x:c r="X54" s="39" t="n">
        <x:f>SUM(X52:X53)</x:f>
        <x:v>14791281</x:v>
      </x:c>
      <x:c r="Y54" s="39" t="n">
        <x:f>SUM(Y52:Y53)</x:f>
        <x:v>14931438</x:v>
      </x:c>
      <x:c r="Z54" s="39" t="n">
        <x:f>SUM(Z52:Z53)</x:f>
        <x:v>15135077</x:v>
      </x:c>
      <x:c r="AA54" s="39" t="n">
        <x:f>SUM(AA52:AA53)</x:f>
        <x:v>15351918</x:v>
      </x:c>
      <x:c r="AB54" s="39" t="n">
        <x:f>SUM(AB52:AB53)</x:f>
        <x:v>15612438</x:v>
      </x:c>
      <x:c r="AC54" s="39" t="n">
        <x:f>SUM(AC52:AC53)</x:f>
        <x:v>15896452</x:v>
      </x:c>
      <x:c r="AD54" s="39" t="n">
        <x:f>SUM(AD52:AD53)</x:f>
        <x:v>16200361</x:v>
      </x:c>
      <x:c r="AE54" s="39" t="n">
        <x:f>SUM(AE52:AE53)</x:f>
        <x:v>16515234</x:v>
      </x:c>
      <x:c r="AF54" s="39" t="n">
        <x:f>SUM(AF52:AF53)</x:f>
        <x:v>16798070</x:v>
      </x:c>
      <x:c r="AG54" s="39" t="n">
        <x:f>SUM(AG52:AG53)</x:f>
        <x:v>17058762</x:v>
      </x:c>
      <x:c r="AH54" s="39" t="n">
        <x:f>SUM(AH52:AH53)</x:f>
        <x:v>17384365</x:v>
      </x:c>
      <x:c r="AI54" s="39" t="n">
        <x:f>SUM(AI52:AI53)</x:f>
        <x:v>17725733</x:v>
      </x:c>
      <x:c r="AJ54" s="39" t="n">
        <x:f>SUM(AJ52:AJ53)</x:f>
        <x:v>18088914</x:v>
      </x:c>
      <x:c r="AK54" s="39" t="n">
        <x:f>SUM(AK52:AK53)</x:f>
        <x:v>18243605</x:v>
      </x:c>
    </x:row>
    <x:row r="55">
      <x:c r="A55" s="42" t="str">
        <x:v>TOTAL PASIVO Y PATRIMONIO</x:v>
      </x:c>
      <x:c r="B55" s="43" t="n">
        <x:f>B51+B54</x:f>
        <x:v>20602936</x:v>
      </x:c>
      <x:c r="C55" s="43" t="n">
        <x:f>C51+C54</x:f>
        <x:v>21139662</x:v>
      </x:c>
      <x:c r="D55" s="43" t="n">
        <x:f>D51+D54</x:f>
        <x:v>21371901</x:v>
      </x:c>
      <x:c r="E55" s="43" t="n">
        <x:f>E51+E54</x:f>
        <x:v>21647769</x:v>
      </x:c>
      <x:c r="F55" s="43" t="n">
        <x:f>F51+F54</x:f>
        <x:v>21987283</x:v>
      </x:c>
      <x:c r="G55" s="43" t="n">
        <x:f>G51+G54</x:f>
        <x:v>22329999</x:v>
      </x:c>
      <x:c r="H55" s="43" t="n">
        <x:f>H51+H54</x:f>
        <x:v>22195432</x:v>
      </x:c>
      <x:c r="I55" s="43" t="n">
        <x:f>I51+I54</x:f>
        <x:v>22221750</x:v>
      </x:c>
      <x:c r="J55" s="43" t="n">
        <x:f>J51+J54</x:f>
        <x:v>23025168</x:v>
      </x:c>
      <x:c r="K55" s="43" t="n">
        <x:f>K51+K54</x:f>
        <x:v>23337326</x:v>
      </x:c>
      <x:c r="L55" s="43" t="n">
        <x:f>L51+L54</x:f>
        <x:v>23930426</x:v>
      </x:c>
      <x:c r="M55" s="43" t="n">
        <x:f>M51+M54</x:f>
        <x:v>24217172</x:v>
      </x:c>
      <x:c r="N55" s="43" t="n">
        <x:f>N51+N54</x:f>
        <x:v>23159283</x:v>
      </x:c>
      <x:c r="O55" s="43" t="n">
        <x:f>O51+O54</x:f>
        <x:v>23820720</x:v>
      </x:c>
      <x:c r="P55" s="43" t="n">
        <x:f>P51+P54</x:f>
        <x:v>23928649</x:v>
      </x:c>
      <x:c r="Q55" s="43" t="n">
        <x:f>Q51+Q54</x:f>
        <x:v>23571431</x:v>
      </x:c>
      <x:c r="R55" s="43" t="n">
        <x:f>R51+R54</x:f>
        <x:v>24912217</x:v>
      </x:c>
      <x:c r="S55" s="43" t="n">
        <x:f>S51+S54</x:f>
        <x:v>25050431</x:v>
      </x:c>
      <x:c r="T55" s="43" t="n">
        <x:f>T51+T54</x:f>
        <x:v>25132074</x:v>
      </x:c>
      <x:c r="U55" s="43" t="n">
        <x:f>U51+U54</x:f>
        <x:v>25072792</x:v>
      </x:c>
      <x:c r="V55" s="43" t="n">
        <x:f>V51+V54</x:f>
        <x:v>26247590</x:v>
      </x:c>
      <x:c r="W55" s="43" t="n">
        <x:f>W51+W54</x:f>
        <x:v>26524374</x:v>
      </x:c>
      <x:c r="X55" s="43" t="n">
        <x:f>X51+X54</x:f>
        <x:v>27097420</x:v>
      </x:c>
      <x:c r="Y55" s="43" t="n">
        <x:f>Y51+Y54</x:f>
        <x:v>27319735</x:v>
      </x:c>
      <x:c r="Z55" s="43" t="n">
        <x:f>Z51+Z54</x:f>
        <x:v>26208858</x:v>
      </x:c>
      <x:c r="AA55" s="43" t="n">
        <x:f>AA51+AA54</x:f>
        <x:v>26850133</x:v>
      </x:c>
      <x:c r="AB55" s="43" t="n">
        <x:f>AB51+AB54</x:f>
        <x:v>27316538</x:v>
      </x:c>
      <x:c r="AC55" s="43" t="n">
        <x:f>AC51+AC54</x:f>
        <x:v>27555918</x:v>
      </x:c>
      <x:c r="AD55" s="43" t="n">
        <x:f>AD51+AD54</x:f>
        <x:v>27930921</x:v>
      </x:c>
      <x:c r="AE55" s="43" t="n">
        <x:f>AE51+AE54</x:f>
        <x:v>28333097</x:v>
      </x:c>
      <x:c r="AF55" s="43" t="n">
        <x:f>AF51+AF54</x:f>
        <x:v>28171041</x:v>
      </x:c>
      <x:c r="AG55" s="43" t="n">
        <x:f>AG51+AG54</x:f>
        <x:v>28200076</x:v>
      </x:c>
      <x:c r="AH55" s="43" t="n">
        <x:f>AH51+AH54</x:f>
        <x:v>29153418</x:v>
      </x:c>
      <x:c r="AI55" s="43" t="n">
        <x:f>AI51+AI54</x:f>
        <x:v>29532378</x:v>
      </x:c>
      <x:c r="AJ55" s="43" t="n">
        <x:f>AJ51+AJ54</x:f>
        <x:v>30243341</x:v>
      </x:c>
      <x:c r="AK55" s="43" t="n">
        <x:f>AK51+AK54</x:f>
        <x:v>30307170</x:v>
      </x:c>
    </x:row>
    <x:row r="56">
      <x:c r="A56" s="35" t="str">
        <x:v>CHECK DE BALANCE</x:v>
      </x:c>
      <x:c r="B56" s="41" t="n">
        <x:f>B41-B55</x:f>
        <x:v>0</x:v>
      </x:c>
      <x:c r="C56" s="41" t="n">
        <x:f>C41-C55</x:f>
        <x:v>0</x:v>
      </x:c>
      <x:c r="D56" s="41" t="n">
        <x:f>D41-D55</x:f>
        <x:v>0</x:v>
      </x:c>
      <x:c r="E56" s="41" t="n">
        <x:f>E41-E55</x:f>
        <x:v>0</x:v>
      </x:c>
      <x:c r="F56" s="41" t="n">
        <x:f>F41-F55</x:f>
        <x:v>0</x:v>
      </x:c>
      <x:c r="G56" s="41" t="n">
        <x:f>G41-G55</x:f>
        <x:v>0</x:v>
      </x:c>
      <x:c r="H56" s="41" t="n">
        <x:f>H41-H55</x:f>
        <x:v>0</x:v>
      </x:c>
      <x:c r="I56" s="41" t="n">
        <x:f>I41-I55</x:f>
        <x:v>0</x:v>
      </x:c>
      <x:c r="J56" s="41" t="n">
        <x:f>J41-J55</x:f>
        <x:v>0</x:v>
      </x:c>
      <x:c r="K56" s="41" t="n">
        <x:f>K41-K55</x:f>
        <x:v>0</x:v>
      </x:c>
      <x:c r="L56" s="41" t="n">
        <x:f>L41-L55</x:f>
        <x:v>0</x:v>
      </x:c>
      <x:c r="M56" s="41" t="n">
        <x:f>M41-M55</x:f>
        <x:v>0</x:v>
      </x:c>
      <x:c r="N56" s="41" t="n">
        <x:f>N41-N55</x:f>
        <x:v>0</x:v>
      </x:c>
      <x:c r="O56" s="41" t="n">
        <x:f>O41-O55</x:f>
        <x:v>0</x:v>
      </x:c>
      <x:c r="P56" s="41" t="n">
        <x:f>P41-P55</x:f>
        <x:v>0</x:v>
      </x:c>
      <x:c r="Q56" s="41" t="n">
        <x:f>Q41-Q55</x:f>
        <x:v>0</x:v>
      </x:c>
      <x:c r="R56" s="41" t="n">
        <x:f>R41-R55</x:f>
        <x:v>0</x:v>
      </x:c>
      <x:c r="S56" s="41" t="n">
        <x:f>S41-S55</x:f>
        <x:v>0</x:v>
      </x:c>
      <x:c r="T56" s="41" t="n">
        <x:f>T41-T55</x:f>
        <x:v>0</x:v>
      </x:c>
      <x:c r="U56" s="41" t="n">
        <x:f>U41-U55</x:f>
        <x:v>0</x:v>
      </x:c>
      <x:c r="V56" s="41" t="n">
        <x:f>V41-V55</x:f>
        <x:v>0</x:v>
      </x:c>
      <x:c r="W56" s="41" t="n">
        <x:f>W41-W55</x:f>
        <x:v>0</x:v>
      </x:c>
      <x:c r="X56" s="41" t="n">
        <x:f>X41-X55</x:f>
        <x:v>0</x:v>
      </x:c>
      <x:c r="Y56" s="41" t="n">
        <x:f>Y41-Y55</x:f>
        <x:v>0</x:v>
      </x:c>
      <x:c r="Z56" s="41" t="n">
        <x:f>Z41-Z55</x:f>
        <x:v>0</x:v>
      </x:c>
      <x:c r="AA56" s="41" t="n">
        <x:f>AA41-AA55</x:f>
        <x:v>0</x:v>
      </x:c>
      <x:c r="AB56" s="41" t="n">
        <x:f>AB41-AB55</x:f>
        <x:v>0</x:v>
      </x:c>
      <x:c r="AC56" s="41" t="n">
        <x:f>AC41-AC55</x:f>
        <x:v>0</x:v>
      </x:c>
      <x:c r="AD56" s="41" t="n">
        <x:f>AD41-AD55</x:f>
        <x:v>0</x:v>
      </x:c>
      <x:c r="AE56" s="41" t="n">
        <x:f>AE41-AE55</x:f>
        <x:v>0</x:v>
      </x:c>
      <x:c r="AF56" s="41" t="n">
        <x:f>AF41-AF55</x:f>
        <x:v>0</x:v>
      </x:c>
      <x:c r="AG56" s="41" t="n">
        <x:f>AG41-AG55</x:f>
        <x:v>0</x:v>
      </x:c>
      <x:c r="AH56" s="41" t="n">
        <x:f>AH41-AH55</x:f>
        <x:v>0</x:v>
      </x:c>
      <x:c r="AI56" s="41" t="n">
        <x:f>AI41-AI55</x:f>
        <x:v>0</x:v>
      </x:c>
      <x:c r="AJ56" s="41" t="n">
        <x:f>AJ41-AJ55</x:f>
        <x:v>0</x:v>
      </x:c>
      <x:c r="AK56" s="41" t="n">
        <x:f>AK41-AK55</x:f>
        <x:v>0</x:v>
      </x:c>
    </x:row>
  </x:sheetData>
  <x:mergeCells>
    <x:mergeCell ref="A1:AK1"/>
    <x:mergeCell ref="A2:AK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</x:cols>
  <x:sheetData>
    <x:row r="1" ht="32" customHeight="1">
      <x:c r="A1" s="3" t="str">
        <x:v>Estado de flujos de efectivo · método indirecto</x:v>
      </x:c>
      <x:c r="B1" s="3" t="str">
        <x:v>Estado de flujos de efectivo · método indirecto</x:v>
      </x:c>
      <x:c r="C1" s="3" t="str">
        <x:v>Estado de flujos de efectivo · método indirecto</x:v>
      </x:c>
      <x:c r="D1" s="3" t="str">
        <x:v>Estado de flujos de efectivo · método indirecto</x:v>
      </x:c>
      <x:c r="E1" s="3" t="str">
        <x:v>Estado de flujos de efectivo · método indirecto</x:v>
      </x:c>
      <x:c r="F1" s="3" t="str">
        <x:v>Estado de flujos de efectivo · método indirecto</x:v>
      </x:c>
      <x:c r="G1" s="3" t="str">
        <x:v>Estado de flujos de efectivo · método indirecto</x:v>
      </x:c>
      <x:c r="H1" s="3" t="str">
        <x:v>Estado de flujos de efectivo · método indirecto</x:v>
      </x:c>
      <x:c r="I1" s="3" t="str">
        <x:v>Estado de flujos de efectivo · método indirecto</x:v>
      </x:c>
      <x:c r="J1" s="3" t="str">
        <x:v>Estado de flujos de efectivo · método indirecto</x:v>
      </x:c>
      <x:c r="K1" s="3" t="str">
        <x:v>Estado de flujos de efectivo · método indirecto</x:v>
      </x:c>
      <x:c r="L1" s="3" t="str">
        <x:v>Estado de flujos de efectivo · método indirecto</x:v>
      </x:c>
      <x:c r="M1" s="3" t="str">
        <x:v>Estado de flujos de efectivo · método indirecto</x:v>
      </x:c>
      <x:c r="N1" s="3" t="str">
        <x:v>Estado de flujos de efectivo · método indirecto</x:v>
      </x:c>
      <x:c r="O1" s="3" t="str">
        <x:v>Estado de flujos de efectivo · método indirecto</x:v>
      </x:c>
      <x:c r="P1" s="3" t="str">
        <x:v>Estado de flujos de efectivo · método indirecto</x:v>
      </x:c>
      <x:c r="Q1" s="3" t="str">
        <x:v>Estado de flujos de efectivo · método indirecto</x:v>
      </x:c>
      <x:c r="R1" s="3" t="str">
        <x:v>Estado de flujos de efectivo · método indirecto</x:v>
      </x:c>
      <x:c r="S1" s="3" t="str">
        <x:v>Estado de flujos de efectivo · método indirecto</x:v>
      </x:c>
      <x:c r="T1" s="3" t="str">
        <x:v>Estado de flujos de efectivo · método indirecto</x:v>
      </x:c>
      <x:c r="U1" s="3" t="str">
        <x:v>Estado de flujos de efectivo · método indirecto</x:v>
      </x:c>
      <x:c r="V1" s="3" t="str">
        <x:v>Estado de flujos de efectivo · método indirecto</x:v>
      </x:c>
      <x:c r="W1" s="3" t="str">
        <x:v>Estado de flujos de efectivo · método indirecto</x:v>
      </x:c>
      <x:c r="X1" s="3" t="str">
        <x:v>Estado de flujos de efectivo · método indirecto</x:v>
      </x:c>
      <x:c r="Y1" s="3" t="str">
        <x:v>Estado de flujos de efectivo · método indirecto</x:v>
      </x:c>
      <x:c r="Z1" s="3" t="str">
        <x:v>Estado de flujos de efectivo · método indirecto</x:v>
      </x:c>
      <x:c r="AA1" s="3" t="str">
        <x:v>Estado de flujos de efectivo · método indirecto</x:v>
      </x:c>
      <x:c r="AB1" s="3" t="str">
        <x:v>Estado de flujos de efectivo · método indirecto</x:v>
      </x:c>
      <x:c r="AC1" s="3" t="str">
        <x:v>Estado de flujos de efectivo · método indirecto</x:v>
      </x:c>
      <x:c r="AD1" s="3" t="str">
        <x:v>Estado de flujos de efectivo · método indirecto</x:v>
      </x:c>
      <x:c r="AE1" s="3" t="str">
        <x:v>Estado de flujos de efectivo · método indirecto</x:v>
      </x:c>
      <x:c r="AF1" s="3" t="str">
        <x:v>Estado de flujos de efectivo · método indirecto</x:v>
      </x:c>
      <x:c r="AG1" s="3" t="str">
        <x:v>Estado de flujos de efectivo · método indirecto</x:v>
      </x:c>
      <x:c r="AH1" s="3" t="str">
        <x:v>Estado de flujos de efectivo · método indirecto</x:v>
      </x:c>
      <x:c r="AI1" s="3" t="str">
        <x:v>Estado de flujos de efectivo · método indirecto</x:v>
      </x:c>
      <x:c r="AJ1" s="3" t="str">
        <x:v>Estado de flujos de efectivo · método indirecto</x:v>
      </x:c>
      <x:c r="AK1" s="3" t="str">
        <x:v>Estado de flujos de efectivo · método indirecto</x:v>
      </x:c>
    </x:row>
    <x:row r="2" ht="30" customHeight="1">
      <x:c r="A2" s="7" t="str">
        <x:v>Las tres secciones concilian con el cambio de efectivo del balance. Los importes de inversión y financiación proceden de Supplemental_Movements.</x:v>
      </x:c>
      <x:c r="B2" s="7" t="str">
        <x:v>Las tres secciones concilian con el cambio de efectivo del balance. Los importes de inversión y financiación proceden de Supplemental_Movements.</x:v>
      </x:c>
      <x:c r="C2" s="7" t="str">
        <x:v>Las tres secciones concilian con el cambio de efectivo del balance. Los importes de inversión y financiación proceden de Supplemental_Movements.</x:v>
      </x:c>
      <x:c r="D2" s="7" t="str">
        <x:v>Las tres secciones concilian con el cambio de efectivo del balance. Los importes de inversión y financiación proceden de Supplemental_Movements.</x:v>
      </x:c>
      <x:c r="E2" s="7" t="str">
        <x:v>Las tres secciones concilian con el cambio de efectivo del balance. Los importes de inversión y financiación proceden de Supplemental_Movements.</x:v>
      </x:c>
      <x:c r="F2" s="7" t="str">
        <x:v>Las tres secciones concilian con el cambio de efectivo del balance. Los importes de inversión y financiación proceden de Supplemental_Movements.</x:v>
      </x:c>
      <x:c r="G2" s="7" t="str">
        <x:v>Las tres secciones concilian con el cambio de efectivo del balance. Los importes de inversión y financiación proceden de Supplemental_Movements.</x:v>
      </x:c>
      <x:c r="H2" s="7" t="str">
        <x:v>Las tres secciones concilian con el cambio de efectivo del balance. Los importes de inversión y financiación proceden de Supplemental_Movements.</x:v>
      </x:c>
      <x:c r="I2" s="7" t="str">
        <x:v>Las tres secciones concilian con el cambio de efectivo del balance. Los importes de inversión y financiación proceden de Supplemental_Movements.</x:v>
      </x:c>
      <x:c r="J2" s="7" t="str">
        <x:v>Las tres secciones concilian con el cambio de efectivo del balance. Los importes de inversión y financiación proceden de Supplemental_Movements.</x:v>
      </x:c>
      <x:c r="K2" s="7" t="str">
        <x:v>Las tres secciones concilian con el cambio de efectivo del balance. Los importes de inversión y financiación proceden de Supplemental_Movements.</x:v>
      </x:c>
      <x:c r="L2" s="7" t="str">
        <x:v>Las tres secciones concilian con el cambio de efectivo del balance. Los importes de inversión y financiación proceden de Supplemental_Movements.</x:v>
      </x:c>
      <x:c r="M2" s="7" t="str">
        <x:v>Las tres secciones concilian con el cambio de efectivo del balance. Los importes de inversión y financiación proceden de Supplemental_Movements.</x:v>
      </x:c>
      <x:c r="N2" s="7" t="str">
        <x:v>Las tres secciones concilian con el cambio de efectivo del balance. Los importes de inversión y financiación proceden de Supplemental_Movements.</x:v>
      </x:c>
      <x:c r="O2" s="7" t="str">
        <x:v>Las tres secciones concilian con el cambio de efectivo del balance. Los importes de inversión y financiación proceden de Supplemental_Movements.</x:v>
      </x:c>
      <x:c r="P2" s="7" t="str">
        <x:v>Las tres secciones concilian con el cambio de efectivo del balance. Los importes de inversión y financiación proceden de Supplemental_Movements.</x:v>
      </x:c>
      <x:c r="Q2" s="7" t="str">
        <x:v>Las tres secciones concilian con el cambio de efectivo del balance. Los importes de inversión y financiación proceden de Supplemental_Movements.</x:v>
      </x:c>
      <x:c r="R2" s="7" t="str">
        <x:v>Las tres secciones concilian con el cambio de efectivo del balance. Los importes de inversión y financiación proceden de Supplemental_Movements.</x:v>
      </x:c>
      <x:c r="S2" s="7" t="str">
        <x:v>Las tres secciones concilian con el cambio de efectivo del balance. Los importes de inversión y financiación proceden de Supplemental_Movements.</x:v>
      </x:c>
      <x:c r="T2" s="7" t="str">
        <x:v>Las tres secciones concilian con el cambio de efectivo del balance. Los importes de inversión y financiación proceden de Supplemental_Movements.</x:v>
      </x:c>
      <x:c r="U2" s="7" t="str">
        <x:v>Las tres secciones concilian con el cambio de efectivo del balance. Los importes de inversión y financiación proceden de Supplemental_Movements.</x:v>
      </x:c>
      <x:c r="V2" s="7" t="str">
        <x:v>Las tres secciones concilian con el cambio de efectivo del balance. Los importes de inversión y financiación proceden de Supplemental_Movements.</x:v>
      </x:c>
      <x:c r="W2" s="7" t="str">
        <x:v>Las tres secciones concilian con el cambio de efectivo del balance. Los importes de inversión y financiación proceden de Supplemental_Movements.</x:v>
      </x:c>
      <x:c r="X2" s="7" t="str">
        <x:v>Las tres secciones concilian con el cambio de efectivo del balance. Los importes de inversión y financiación proceden de Supplemental_Movements.</x:v>
      </x:c>
      <x:c r="Y2" s="7" t="str">
        <x:v>Las tres secciones concilian con el cambio de efectivo del balance. Los importes de inversión y financiación proceden de Supplemental_Movements.</x:v>
      </x:c>
      <x:c r="Z2" s="7" t="str">
        <x:v>Las tres secciones concilian con el cambio de efectivo del balance. Los importes de inversión y financiación proceden de Supplemental_Movements.</x:v>
      </x:c>
      <x:c r="AA2" s="7" t="str">
        <x:v>Las tres secciones concilian con el cambio de efectivo del balance. Los importes de inversión y financiación proceden de Supplemental_Movements.</x:v>
      </x:c>
      <x:c r="AB2" s="7" t="str">
        <x:v>Las tres secciones concilian con el cambio de efectivo del balance. Los importes de inversión y financiación proceden de Supplemental_Movements.</x:v>
      </x:c>
      <x:c r="AC2" s="7" t="str">
        <x:v>Las tres secciones concilian con el cambio de efectivo del balance. Los importes de inversión y financiación proceden de Supplemental_Movements.</x:v>
      </x:c>
      <x:c r="AD2" s="7" t="str">
        <x:v>Las tres secciones concilian con el cambio de efectivo del balance. Los importes de inversión y financiación proceden de Supplemental_Movements.</x:v>
      </x:c>
      <x:c r="AE2" s="7" t="str">
        <x:v>Las tres secciones concilian con el cambio de efectivo del balance. Los importes de inversión y financiación proceden de Supplemental_Movements.</x:v>
      </x:c>
      <x:c r="AF2" s="7" t="str">
        <x:v>Las tres secciones concilian con el cambio de efectivo del balance. Los importes de inversión y financiación proceden de Supplemental_Movements.</x:v>
      </x:c>
      <x:c r="AG2" s="7" t="str">
        <x:v>Las tres secciones concilian con el cambio de efectivo del balance. Los importes de inversión y financiación proceden de Supplemental_Movements.</x:v>
      </x:c>
      <x:c r="AH2" s="7" t="str">
        <x:v>Las tres secciones concilian con el cambio de efectivo del balance. Los importes de inversión y financiación proceden de Supplemental_Movements.</x:v>
      </x:c>
      <x:c r="AI2" s="7" t="str">
        <x:v>Las tres secciones concilian con el cambio de efectivo del balance. Los importes de inversión y financiación proceden de Supplemental_Movements.</x:v>
      </x:c>
      <x:c r="AJ2" s="7" t="str">
        <x:v>Las tres secciones concilian con el cambio de efectivo del balance. Los importes de inversión y financiación proceden de Supplemental_Movements.</x:v>
      </x:c>
      <x:c r="AK2" s="7" t="str">
        <x:v>Las tres secciones concilian con el cambio de efectivo del balance. Los importes de inversión y financiación proceden de Supplemental_Movements.</x:v>
      </x:c>
    </x:row>
    <x:row r="3" ht="26" customHeight="1">
      <x:c r="A3" s="34" t="str">
        <x:v>Línea</x:v>
      </x:c>
      <x:c r="B3" s="34" t="str">
        <x:v>2024-01</x:v>
      </x:c>
      <x:c r="C3" s="34" t="str">
        <x:v>2024-02</x:v>
      </x:c>
      <x:c r="D3" s="34" t="str">
        <x:v>2024-03</x:v>
      </x:c>
      <x:c r="E3" s="34" t="str">
        <x:v>2024-04</x:v>
      </x:c>
      <x:c r="F3" s="34" t="str">
        <x:v>2024-05</x:v>
      </x:c>
      <x:c r="G3" s="34" t="str">
        <x:v>2024-06</x:v>
      </x:c>
      <x:c r="H3" s="34" t="str">
        <x:v>2024-07</x:v>
      </x:c>
      <x:c r="I3" s="34" t="str">
        <x:v>2024-08</x:v>
      </x:c>
      <x:c r="J3" s="34" t="str">
        <x:v>2024-09</x:v>
      </x:c>
      <x:c r="K3" s="34" t="str">
        <x:v>2024-10</x:v>
      </x:c>
      <x:c r="L3" s="34" t="str">
        <x:v>2024-11</x:v>
      </x:c>
      <x:c r="M3" s="34" t="str">
        <x:v>2024-12</x:v>
      </x:c>
      <x:c r="N3" s="34" t="str">
        <x:v>2025-01</x:v>
      </x:c>
      <x:c r="O3" s="34" t="str">
        <x:v>2025-02</x:v>
      </x:c>
      <x:c r="P3" s="34" t="str">
        <x:v>2025-03</x:v>
      </x:c>
      <x:c r="Q3" s="34" t="str">
        <x:v>2025-04</x:v>
      </x:c>
      <x:c r="R3" s="34" t="str">
        <x:v>2025-05</x:v>
      </x:c>
      <x:c r="S3" s="34" t="str">
        <x:v>2025-06</x:v>
      </x:c>
      <x:c r="T3" s="34" t="str">
        <x:v>2025-07</x:v>
      </x:c>
      <x:c r="U3" s="34" t="str">
        <x:v>2025-08</x:v>
      </x:c>
      <x:c r="V3" s="34" t="str">
        <x:v>2025-09</x:v>
      </x:c>
      <x:c r="W3" s="34" t="str">
        <x:v>2025-10</x:v>
      </x:c>
      <x:c r="X3" s="34" t="str">
        <x:v>2025-11</x:v>
      </x:c>
      <x:c r="Y3" s="34" t="str">
        <x:v>2025-12</x:v>
      </x:c>
      <x:c r="Z3" s="34" t="str">
        <x:v>2026-01</x:v>
      </x:c>
      <x:c r="AA3" s="34" t="str">
        <x:v>2026-02</x:v>
      </x:c>
      <x:c r="AB3" s="34" t="str">
        <x:v>2026-03</x:v>
      </x:c>
      <x:c r="AC3" s="34" t="str">
        <x:v>2026-04</x:v>
      </x:c>
      <x:c r="AD3" s="34" t="str">
        <x:v>2026-05</x:v>
      </x:c>
      <x:c r="AE3" s="34" t="str">
        <x:v>2026-06</x:v>
      </x:c>
      <x:c r="AF3" s="34" t="str">
        <x:v>2026-07</x:v>
      </x:c>
      <x:c r="AG3" s="34" t="str">
        <x:v>2026-08</x:v>
      </x:c>
      <x:c r="AH3" s="34" t="str">
        <x:v>2026-09</x:v>
      </x:c>
      <x:c r="AI3" s="34" t="str">
        <x:v>2026-10</x:v>
      </x:c>
      <x:c r="AJ3" s="34" t="str">
        <x:v>2026-11</x:v>
      </x:c>
      <x:c r="AK3" s="34" t="str">
        <x:v>2026-12</x:v>
      </x:c>
    </x:row>
    <x:row r="4">
      <x:c r="A4" s="35" t="str">
        <x:v>FLUJO DE ACTIVIDADES OPERATIVAS</x:v>
      </x:c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5"/>
      <x:c r="N4" s="35"/>
      <x:c r="O4" s="35"/>
      <x:c r="P4" s="35"/>
      <x:c r="Q4" s="35"/>
      <x:c r="R4" s="35"/>
      <x:c r="S4" s="35"/>
      <x:c r="T4" s="35"/>
      <x:c r="U4" s="35"/>
      <x:c r="V4" s="35"/>
      <x:c r="W4" s="35"/>
      <x:c r="X4" s="35"/>
      <x:c r="Y4" s="35"/>
      <x:c r="Z4" s="35"/>
      <x:c r="AA4" s="35"/>
      <x:c r="AB4" s="35"/>
      <x:c r="AC4" s="35"/>
      <x:c r="AD4" s="35"/>
      <x:c r="AE4" s="35"/>
      <x:c r="AF4" s="35"/>
      <x:c r="AG4" s="35"/>
      <x:c r="AH4" s="35"/>
      <x:c r="AI4" s="35"/>
      <x:c r="AJ4" s="35"/>
      <x:c r="AK4" s="35"/>
    </x:row>
    <x:row r="5">
      <x:c r="A5" s="36" t="str">
        <x:v>Resultado neto</x:v>
      </x:c>
      <x:c r="B5" s="37" t="n">
        <x:f>'Financial_Statements'!B30</x:f>
        <x:v>214282</x:v>
      </x:c>
      <x:c r="C5" s="37" t="n">
        <x:f>'Financial_Statements'!C30</x:f>
        <x:v>225271</x:v>
      </x:c>
      <x:c r="D5" s="37" t="n">
        <x:f>'Financial_Statements'!D30</x:f>
        <x:v>251735</x:v>
      </x:c>
      <x:c r="E5" s="37" t="n">
        <x:f>'Financial_Statements'!E30</x:f>
        <x:v>244873</x:v>
      </x:c>
      <x:c r="F5" s="37" t="n">
        <x:f>'Financial_Statements'!F30</x:f>
        <x:v>261119</x:v>
      </x:c>
      <x:c r="G5" s="37" t="n">
        <x:f>'Financial_Statements'!G30</x:f>
        <x:v>270110</x:v>
      </x:c>
      <x:c r="H5" s="37" t="n">
        <x:f>'Financial_Statements'!H30</x:f>
        <x:v>244040</x:v>
      </x:c>
      <x:c r="I5" s="37" t="n">
        <x:f>'Financial_Statements'!I30</x:f>
        <x:v>225988</x:v>
      </x:c>
      <x:c r="J5" s="37" t="n">
        <x:f>'Financial_Statements'!J30</x:f>
        <x:v>278708</x:v>
      </x:c>
      <x:c r="K5" s="37" t="n">
        <x:f>'Financial_Statements'!K30</x:f>
        <x:v>291505</x:v>
      </x:c>
      <x:c r="L5" s="37" t="n">
        <x:f>'Financial_Statements'!L30</x:f>
        <x:v>308989</x:v>
      </x:c>
      <x:c r="M5" s="37" t="n">
        <x:f>'Financial_Statements'!M30</x:f>
        <x:v>342433</x:v>
      </x:c>
      <x:c r="N5" s="37" t="n">
        <x:f>'Financial_Statements'!N30</x:f>
        <x:v>220933</x:v>
      </x:c>
      <x:c r="O5" s="37" t="n">
        <x:f>'Financial_Statements'!O30</x:f>
        <x:v>234229</x:v>
      </x:c>
      <x:c r="P5" s="37" t="n">
        <x:f>'Financial_Statements'!P30</x:f>
        <x:v>262576</x:v>
      </x:c>
      <x:c r="Q5" s="37" t="n">
        <x:f>'Financial_Statements'!Q30</x:f>
        <x:v>190436</x:v>
      </x:c>
      <x:c r="R5" s="37" t="n">
        <x:f>'Financial_Statements'!R30</x:f>
        <x:v>202246</x:v>
      </x:c>
      <x:c r="S5" s="37" t="n">
        <x:f>'Financial_Statements'!S30</x:f>
        <x:v>147286</x:v>
      </x:c>
      <x:c r="T5" s="37" t="n">
        <x:f>'Financial_Statements'!T30</x:f>
        <x:v>203374</x:v>
      </x:c>
      <x:c r="U5" s="37" t="n">
        <x:f>'Financial_Statements'!U30</x:f>
        <x:v>223688</x:v>
      </x:c>
      <x:c r="V5" s="37" t="n">
        <x:f>'Financial_Statements'!V30</x:f>
        <x:v>299975</x:v>
      </x:c>
      <x:c r="W5" s="37" t="n">
        <x:f>'Financial_Statements'!W30</x:f>
        <x:v>290612</x:v>
      </x:c>
      <x:c r="X5" s="37" t="n">
        <x:f>'Financial_Statements'!X30</x:f>
        <x:v>306873</x:v>
      </x:c>
      <x:c r="Y5" s="37" t="n">
        <x:f>'Financial_Statements'!Y30</x:f>
        <x:v>340157</x:v>
      </x:c>
      <x:c r="Z5" s="37" t="n">
        <x:f>'Financial_Statements'!Z30</x:f>
        <x:v>203639</x:v>
      </x:c>
      <x:c r="AA5" s="37" t="n">
        <x:f>'Financial_Statements'!AA30</x:f>
        <x:v>216841</x:v>
      </x:c>
      <x:c r="AB5" s="37" t="n">
        <x:f>'Financial_Statements'!AB30</x:f>
        <x:v>260520</x:v>
      </x:c>
      <x:c r="AC5" s="37" t="n">
        <x:f>'Financial_Statements'!AC30</x:f>
        <x:v>284014</x:v>
      </x:c>
      <x:c r="AD5" s="37" t="n">
        <x:f>'Financial_Statements'!AD30</x:f>
        <x:v>303909</x:v>
      </x:c>
      <x:c r="AE5" s="37" t="n">
        <x:f>'Financial_Statements'!AE30</x:f>
        <x:v>314873</x:v>
      </x:c>
      <x:c r="AF5" s="37" t="n">
        <x:f>'Financial_Statements'!AF30</x:f>
        <x:v>282836</x:v>
      </x:c>
      <x:c r="AG5" s="37" t="n">
        <x:f>'Financial_Statements'!AG30</x:f>
        <x:v>260692</x:v>
      </x:c>
      <x:c r="AH5" s="37" t="n">
        <x:f>'Financial_Statements'!AH30</x:f>
        <x:v>325603</x:v>
      </x:c>
      <x:c r="AI5" s="37" t="n">
        <x:f>'Financial_Statements'!AI30</x:f>
        <x:v>341368</x:v>
      </x:c>
      <x:c r="AJ5" s="37" t="n">
        <x:f>'Financial_Statements'!AJ30</x:f>
        <x:v>363181</x:v>
      </x:c>
      <x:c r="AK5" s="37" t="n">
        <x:f>'Financial_Statements'!AK30</x:f>
        <x:v>404691</x:v>
      </x:c>
    </x:row>
    <x:row r="6">
      <x:c r="A6" s="36" t="str">
        <x:v>Depreciación</x:v>
      </x:c>
      <x:c r="B6" s="37" t="n">
        <x:f>-'Financial_Statements'!B21</x:f>
        <x:v>105000</x:v>
      </x:c>
      <x:c r="C6" s="37" t="n">
        <x:f>-'Financial_Statements'!C21</x:f>
        <x:v>107500</x:v>
      </x:c>
      <x:c r="D6" s="37" t="n">
        <x:f>-'Financial_Statements'!D21</x:f>
        <x:v>110000</x:v>
      </x:c>
      <x:c r="E6" s="37" t="n">
        <x:f>-'Financial_Statements'!E21</x:f>
        <x:v>112500</x:v>
      </x:c>
      <x:c r="F6" s="37" t="n">
        <x:f>-'Financial_Statements'!F21</x:f>
        <x:v>115000</x:v>
      </x:c>
      <x:c r="G6" s="37" t="n">
        <x:f>-'Financial_Statements'!G21</x:f>
        <x:v>117500</x:v>
      </x:c>
      <x:c r="H6" s="37" t="n">
        <x:f>-'Financial_Statements'!H21</x:f>
        <x:v>120000</x:v>
      </x:c>
      <x:c r="I6" s="37" t="n">
        <x:f>-'Financial_Statements'!I21</x:f>
        <x:v>122500</x:v>
      </x:c>
      <x:c r="J6" s="37" t="n">
        <x:f>-'Financial_Statements'!J21</x:f>
        <x:v>125000</x:v>
      </x:c>
      <x:c r="K6" s="37" t="n">
        <x:f>-'Financial_Statements'!K21</x:f>
        <x:v>127500</x:v>
      </x:c>
      <x:c r="L6" s="37" t="n">
        <x:f>-'Financial_Statements'!L21</x:f>
        <x:v>130000</x:v>
      </x:c>
      <x:c r="M6" s="37" t="n">
        <x:f>-'Financial_Statements'!M21</x:f>
        <x:v>132500</x:v>
      </x:c>
      <x:c r="N6" s="37" t="n">
        <x:f>-'Financial_Statements'!N21</x:f>
        <x:v>135000</x:v>
      </x:c>
      <x:c r="O6" s="37" t="n">
        <x:f>-'Financial_Statements'!O21</x:f>
        <x:v>137500</x:v>
      </x:c>
      <x:c r="P6" s="37" t="n">
        <x:f>-'Financial_Statements'!P21</x:f>
        <x:v>140000</x:v>
      </x:c>
      <x:c r="Q6" s="37" t="n">
        <x:f>-'Financial_Statements'!Q21</x:f>
        <x:v>142500</x:v>
      </x:c>
      <x:c r="R6" s="37" t="n">
        <x:f>-'Financial_Statements'!R21</x:f>
        <x:v>145000</x:v>
      </x:c>
      <x:c r="S6" s="37" t="n">
        <x:f>-'Financial_Statements'!S21</x:f>
        <x:v>147500</x:v>
      </x:c>
      <x:c r="T6" s="37" t="n">
        <x:f>-'Financial_Statements'!T21</x:f>
        <x:v>150000</x:v>
      </x:c>
      <x:c r="U6" s="37" t="n">
        <x:f>-'Financial_Statements'!U21</x:f>
        <x:v>152500</x:v>
      </x:c>
      <x:c r="V6" s="37" t="n">
        <x:f>-'Financial_Statements'!V21</x:f>
        <x:v>155000</x:v>
      </x:c>
      <x:c r="W6" s="37" t="n">
        <x:f>-'Financial_Statements'!W21</x:f>
        <x:v>157500</x:v>
      </x:c>
      <x:c r="X6" s="37" t="n">
        <x:f>-'Financial_Statements'!X21</x:f>
        <x:v>160000</x:v>
      </x:c>
      <x:c r="Y6" s="37" t="n">
        <x:f>-'Financial_Statements'!Y21</x:f>
        <x:v>162500</x:v>
      </x:c>
      <x:c r="Z6" s="37" t="n">
        <x:f>-'Financial_Statements'!Z21</x:f>
        <x:v>165000</x:v>
      </x:c>
      <x:c r="AA6" s="37" t="n">
        <x:f>-'Financial_Statements'!AA21</x:f>
        <x:v>167500</x:v>
      </x:c>
      <x:c r="AB6" s="37" t="n">
        <x:f>-'Financial_Statements'!AB21</x:f>
        <x:v>170000</x:v>
      </x:c>
      <x:c r="AC6" s="37" t="n">
        <x:f>-'Financial_Statements'!AC21</x:f>
        <x:v>172500</x:v>
      </x:c>
      <x:c r="AD6" s="37" t="n">
        <x:f>-'Financial_Statements'!AD21</x:f>
        <x:v>175000</x:v>
      </x:c>
      <x:c r="AE6" s="37" t="n">
        <x:f>-'Financial_Statements'!AE21</x:f>
        <x:v>177500</x:v>
      </x:c>
      <x:c r="AF6" s="37" t="n">
        <x:f>-'Financial_Statements'!AF21</x:f>
        <x:v>180000</x:v>
      </x:c>
      <x:c r="AG6" s="37" t="n">
        <x:f>-'Financial_Statements'!AG21</x:f>
        <x:v>182500</x:v>
      </x:c>
      <x:c r="AH6" s="37" t="n">
        <x:f>-'Financial_Statements'!AH21</x:f>
        <x:v>185000</x:v>
      </x:c>
      <x:c r="AI6" s="37" t="n">
        <x:f>-'Financial_Statements'!AI21</x:f>
        <x:v>187500</x:v>
      </x:c>
      <x:c r="AJ6" s="37" t="n">
        <x:f>-'Financial_Statements'!AJ21</x:f>
        <x:v>190000</x:v>
      </x:c>
      <x:c r="AK6" s="37" t="n">
        <x:f>-'Financial_Statements'!AK21</x:f>
        <x:v>192500</x:v>
      </x:c>
    </x:row>
    <x:row r="7">
      <x:c r="A7" s="36" t="str">
        <x:v>Amortización</x:v>
      </x:c>
      <x:c r="B7" s="37" t="n">
        <x:f>-'Financial_Statements'!B22</x:f>
        <x:v>22000</x:v>
      </x:c>
      <x:c r="C7" s="37" t="n">
        <x:f>-'Financial_Statements'!C22</x:f>
        <x:v>22350</x:v>
      </x:c>
      <x:c r="D7" s="37" t="n">
        <x:f>-'Financial_Statements'!D22</x:f>
        <x:v>22700</x:v>
      </x:c>
      <x:c r="E7" s="37" t="n">
        <x:f>-'Financial_Statements'!E22</x:f>
        <x:v>23050</x:v>
      </x:c>
      <x:c r="F7" s="37" t="n">
        <x:f>-'Financial_Statements'!F22</x:f>
        <x:v>23400</x:v>
      </x:c>
      <x:c r="G7" s="37" t="n">
        <x:f>-'Financial_Statements'!G22</x:f>
        <x:v>23750</x:v>
      </x:c>
      <x:c r="H7" s="37" t="n">
        <x:f>-'Financial_Statements'!H22</x:f>
        <x:v>24100</x:v>
      </x:c>
      <x:c r="I7" s="37" t="n">
        <x:f>-'Financial_Statements'!I22</x:f>
        <x:v>24450</x:v>
      </x:c>
      <x:c r="J7" s="37" t="n">
        <x:f>-'Financial_Statements'!J22</x:f>
        <x:v>24800</x:v>
      </x:c>
      <x:c r="K7" s="37" t="n">
        <x:f>-'Financial_Statements'!K22</x:f>
        <x:v>25150</x:v>
      </x:c>
      <x:c r="L7" s="37" t="n">
        <x:f>-'Financial_Statements'!L22</x:f>
        <x:v>25500</x:v>
      </x:c>
      <x:c r="M7" s="37" t="n">
        <x:f>-'Financial_Statements'!M22</x:f>
        <x:v>25850</x:v>
      </x:c>
      <x:c r="N7" s="37" t="n">
        <x:f>-'Financial_Statements'!N22</x:f>
        <x:v>26200</x:v>
      </x:c>
      <x:c r="O7" s="37" t="n">
        <x:f>-'Financial_Statements'!O22</x:f>
        <x:v>26550</x:v>
      </x:c>
      <x:c r="P7" s="37" t="n">
        <x:f>-'Financial_Statements'!P22</x:f>
        <x:v>26900</x:v>
      </x:c>
      <x:c r="Q7" s="37" t="n">
        <x:f>-'Financial_Statements'!Q22</x:f>
        <x:v>27250</x:v>
      </x:c>
      <x:c r="R7" s="37" t="n">
        <x:f>-'Financial_Statements'!R22</x:f>
        <x:v>27600</x:v>
      </x:c>
      <x:c r="S7" s="37" t="n">
        <x:f>-'Financial_Statements'!S22</x:f>
        <x:v>27950</x:v>
      </x:c>
      <x:c r="T7" s="37" t="n">
        <x:f>-'Financial_Statements'!T22</x:f>
        <x:v>28300</x:v>
      </x:c>
      <x:c r="U7" s="37" t="n">
        <x:f>-'Financial_Statements'!U22</x:f>
        <x:v>28650</x:v>
      </x:c>
      <x:c r="V7" s="37" t="n">
        <x:f>-'Financial_Statements'!V22</x:f>
        <x:v>29000</x:v>
      </x:c>
      <x:c r="W7" s="37" t="n">
        <x:f>-'Financial_Statements'!W22</x:f>
        <x:v>29350</x:v>
      </x:c>
      <x:c r="X7" s="37" t="n">
        <x:f>-'Financial_Statements'!X22</x:f>
        <x:v>29700</x:v>
      </x:c>
      <x:c r="Y7" s="37" t="n">
        <x:f>-'Financial_Statements'!Y22</x:f>
        <x:v>30050</x:v>
      </x:c>
      <x:c r="Z7" s="37" t="n">
        <x:f>-'Financial_Statements'!Z22</x:f>
        <x:v>30400</x:v>
      </x:c>
      <x:c r="AA7" s="37" t="n">
        <x:f>-'Financial_Statements'!AA22</x:f>
        <x:v>30750</x:v>
      </x:c>
      <x:c r="AB7" s="37" t="n">
        <x:f>-'Financial_Statements'!AB22</x:f>
        <x:v>31100</x:v>
      </x:c>
      <x:c r="AC7" s="37" t="n">
        <x:f>-'Financial_Statements'!AC22</x:f>
        <x:v>31450</x:v>
      </x:c>
      <x:c r="AD7" s="37" t="n">
        <x:f>-'Financial_Statements'!AD22</x:f>
        <x:v>31800</x:v>
      </x:c>
      <x:c r="AE7" s="37" t="n">
        <x:f>-'Financial_Statements'!AE22</x:f>
        <x:v>32150</x:v>
      </x:c>
      <x:c r="AF7" s="37" t="n">
        <x:f>-'Financial_Statements'!AF22</x:f>
        <x:v>32500</x:v>
      </x:c>
      <x:c r="AG7" s="37" t="n">
        <x:f>-'Financial_Statements'!AG22</x:f>
        <x:v>32850</x:v>
      </x:c>
      <x:c r="AH7" s="37" t="n">
        <x:f>-'Financial_Statements'!AH22</x:f>
        <x:v>33200</x:v>
      </x:c>
      <x:c r="AI7" s="37" t="n">
        <x:f>-'Financial_Statements'!AI22</x:f>
        <x:v>33550</x:v>
      </x:c>
      <x:c r="AJ7" s="37" t="n">
        <x:f>-'Financial_Statements'!AJ22</x:f>
        <x:v>33900</x:v>
      </x:c>
      <x:c r="AK7" s="37" t="n">
        <x:f>-'Financial_Statements'!AK22</x:f>
        <x:v>34250</x:v>
      </x:c>
    </x:row>
    <x:row r="8">
      <x:c r="A8" s="36" t="str">
        <x:v>Deterioros</x:v>
      </x:c>
      <x:c r="B8" s="37" t="n">
        <x:f>-'Financial_Statements'!B23</x:f>
        <x:v>0</x:v>
      </x:c>
      <x:c r="C8" s="37" t="n">
        <x:f>-'Financial_Statements'!C23</x:f>
        <x:v>0</x:v>
      </x:c>
      <x:c r="D8" s="37" t="n">
        <x:f>-'Financial_Statements'!D23</x:f>
        <x:v>0</x:v>
      </x:c>
      <x:c r="E8" s="37" t="n">
        <x:f>-'Financial_Statements'!E23</x:f>
        <x:v>0</x:v>
      </x:c>
      <x:c r="F8" s="37" t="n">
        <x:f>-'Financial_Statements'!F23</x:f>
        <x:v>0</x:v>
      </x:c>
      <x:c r="G8" s="37" t="n">
        <x:f>-'Financial_Statements'!G23</x:f>
        <x:v>0</x:v>
      </x:c>
      <x:c r="H8" s="37" t="n">
        <x:f>-'Financial_Statements'!H23</x:f>
        <x:v>0</x:v>
      </x:c>
      <x:c r="I8" s="37" t="n">
        <x:f>-'Financial_Statements'!I23</x:f>
        <x:v>0</x:v>
      </x:c>
      <x:c r="J8" s="37" t="n">
        <x:f>-'Financial_Statements'!J23</x:f>
        <x:v>0</x:v>
      </x:c>
      <x:c r="K8" s="37" t="n">
        <x:f>-'Financial_Statements'!K23</x:f>
        <x:v>0</x:v>
      </x:c>
      <x:c r="L8" s="37" t="n">
        <x:f>-'Financial_Statements'!L23</x:f>
        <x:v>0</x:v>
      </x:c>
      <x:c r="M8" s="37" t="n">
        <x:f>-'Financial_Statements'!M23</x:f>
        <x:v>0</x:v>
      </x:c>
      <x:c r="N8" s="37" t="n">
        <x:f>-'Financial_Statements'!N23</x:f>
        <x:v>0</x:v>
      </x:c>
      <x:c r="O8" s="37" t="n">
        <x:f>-'Financial_Statements'!O23</x:f>
        <x:v>0</x:v>
      </x:c>
      <x:c r="P8" s="37" t="n">
        <x:f>-'Financial_Statements'!P23</x:f>
        <x:v>0</x:v>
      </x:c>
      <x:c r="Q8" s="37" t="n">
        <x:f>-'Financial_Statements'!Q23</x:f>
        <x:v>0</x:v>
      </x:c>
      <x:c r="R8" s="37" t="n">
        <x:f>-'Financial_Statements'!R23</x:f>
        <x:v>0</x:v>
      </x:c>
      <x:c r="S8" s="37" t="n">
        <x:f>-'Financial_Statements'!S23</x:f>
        <x:v>80000</x:v>
      </x:c>
      <x:c r="T8" s="37" t="n">
        <x:f>-'Financial_Statements'!T23</x:f>
        <x:v>0</x:v>
      </x:c>
      <x:c r="U8" s="37" t="n">
        <x:f>-'Financial_Statements'!U23</x:f>
        <x:v>0</x:v>
      </x:c>
      <x:c r="V8" s="37" t="n">
        <x:f>-'Financial_Statements'!V23</x:f>
        <x:v>0</x:v>
      </x:c>
      <x:c r="W8" s="37" t="n">
        <x:f>-'Financial_Statements'!W23</x:f>
        <x:v>0</x:v>
      </x:c>
      <x:c r="X8" s="37" t="n">
        <x:f>-'Financial_Statements'!X23</x:f>
        <x:v>0</x:v>
      </x:c>
      <x:c r="Y8" s="37" t="n">
        <x:f>-'Financial_Statements'!Y23</x:f>
        <x:v>0</x:v>
      </x:c>
      <x:c r="Z8" s="37" t="n">
        <x:f>-'Financial_Statements'!Z23</x:f>
        <x:v>0</x:v>
      </x:c>
      <x:c r="AA8" s="37" t="n">
        <x:f>-'Financial_Statements'!AA23</x:f>
        <x:v>0</x:v>
      </x:c>
      <x:c r="AB8" s="37" t="n">
        <x:f>-'Financial_Statements'!AB23</x:f>
        <x:v>0</x:v>
      </x:c>
      <x:c r="AC8" s="37" t="n">
        <x:f>-'Financial_Statements'!AC23</x:f>
        <x:v>0</x:v>
      </x:c>
      <x:c r="AD8" s="37" t="n">
        <x:f>-'Financial_Statements'!AD23</x:f>
        <x:v>0</x:v>
      </x:c>
      <x:c r="AE8" s="37" t="n">
        <x:f>-'Financial_Statements'!AE23</x:f>
        <x:v>0</x:v>
      </x:c>
      <x:c r="AF8" s="37" t="n">
        <x:f>-'Financial_Statements'!AF23</x:f>
        <x:v>0</x:v>
      </x:c>
      <x:c r="AG8" s="37" t="n">
        <x:f>-'Financial_Statements'!AG23</x:f>
        <x:v>0</x:v>
      </x:c>
      <x:c r="AH8" s="37" t="n">
        <x:f>-'Financial_Statements'!AH23</x:f>
        <x:v>0</x:v>
      </x:c>
      <x:c r="AI8" s="37" t="n">
        <x:f>-'Financial_Statements'!AI23</x:f>
        <x:v>0</x:v>
      </x:c>
      <x:c r="AJ8" s="37" t="n">
        <x:f>-'Financial_Statements'!AJ23</x:f>
        <x:v>0</x:v>
      </x:c>
      <x:c r="AK8" s="37" t="n">
        <x:f>-'Financial_Statements'!AK23</x:f>
        <x:v>0</x:v>
      </x:c>
    </x:row>
    <x:row r="9">
      <x:c r="A9" s="36" t="str">
        <x:v>(-) Ganancia / (+) pérdida en venta de activos</x:v>
      </x:c>
      <x:c r="B9" s="37" t="n">
        <x:f>-'Financial_Statements'!B24</x:f>
        <x:v>0</x:v>
      </x:c>
      <x:c r="C9" s="37" t="n">
        <x:f>-'Financial_Statements'!C24</x:f>
        <x:v>0</x:v>
      </x:c>
      <x:c r="D9" s="37" t="n">
        <x:f>-'Financial_Statements'!D24</x:f>
        <x:v>0</x:v>
      </x:c>
      <x:c r="E9" s="37" t="n">
        <x:f>-'Financial_Statements'!E24</x:f>
        <x:v>0</x:v>
      </x:c>
      <x:c r="F9" s="37" t="n">
        <x:f>-'Financial_Statements'!F24</x:f>
        <x:v>0</x:v>
      </x:c>
      <x:c r="G9" s="37" t="n">
        <x:f>-'Financial_Statements'!G24</x:f>
        <x:v>0</x:v>
      </x:c>
      <x:c r="H9" s="37" t="n">
        <x:f>-'Financial_Statements'!H24</x:f>
        <x:v>0</x:v>
      </x:c>
      <x:c r="I9" s="37" t="n">
        <x:f>-'Financial_Statements'!I24</x:f>
        <x:v>0</x:v>
      </x:c>
      <x:c r="J9" s="37" t="n">
        <x:f>-'Financial_Statements'!J24</x:f>
        <x:v>0</x:v>
      </x:c>
      <x:c r="K9" s="37" t="n">
        <x:f>-'Financial_Statements'!K24</x:f>
        <x:v>0</x:v>
      </x:c>
      <x:c r="L9" s="37" t="n">
        <x:f>-'Financial_Statements'!L24</x:f>
        <x:v>0</x:v>
      </x:c>
      <x:c r="M9" s="37" t="n">
        <x:f>-'Financial_Statements'!M24</x:f>
        <x:v>0</x:v>
      </x:c>
      <x:c r="N9" s="37" t="n">
        <x:f>-'Financial_Statements'!N24</x:f>
        <x:v>0</x:v>
      </x:c>
      <x:c r="O9" s="37" t="n">
        <x:f>-'Financial_Statements'!O24</x:f>
        <x:v>0</x:v>
      </x:c>
      <x:c r="P9" s="37" t="n">
        <x:f>-'Financial_Statements'!P24</x:f>
        <x:v>0</x:v>
      </x:c>
      <x:c r="Q9" s="37" t="n">
        <x:f>-'Financial_Statements'!Q24</x:f>
        <x:v>0</x:v>
      </x:c>
      <x:c r="R9" s="37" t="n">
        <x:f>-'Financial_Statements'!R24</x:f>
        <x:v>0</x:v>
      </x:c>
      <x:c r="S9" s="37" t="n">
        <x:f>-'Financial_Statements'!S24</x:f>
        <x:v>0</x:v>
      </x:c>
      <x:c r="T9" s="37" t="n">
        <x:f>-'Financial_Statements'!T24</x:f>
        <x:v>0</x:v>
      </x:c>
      <x:c r="U9" s="37" t="n">
        <x:f>-'Financial_Statements'!U24</x:f>
        <x:v>0</x:v>
      </x:c>
      <x:c r="V9" s="37" t="n">
        <x:f>-'Financial_Statements'!V24</x:f>
        <x:v>-30000</x:v>
      </x:c>
      <x:c r="W9" s="37" t="n">
        <x:f>-'Financial_Statements'!W24</x:f>
        <x:v>0</x:v>
      </x:c>
      <x:c r="X9" s="37" t="n">
        <x:f>-'Financial_Statements'!X24</x:f>
        <x:v>0</x:v>
      </x:c>
      <x:c r="Y9" s="37" t="n">
        <x:f>-'Financial_Statements'!Y24</x:f>
        <x:v>0</x:v>
      </x:c>
      <x:c r="Z9" s="37" t="n">
        <x:f>-'Financial_Statements'!Z24</x:f>
        <x:v>0</x:v>
      </x:c>
      <x:c r="AA9" s="37" t="n">
        <x:f>-'Financial_Statements'!AA24</x:f>
        <x:v>0</x:v>
      </x:c>
      <x:c r="AB9" s="37" t="n">
        <x:f>-'Financial_Statements'!AB24</x:f>
        <x:v>0</x:v>
      </x:c>
      <x:c r="AC9" s="37" t="n">
        <x:f>-'Financial_Statements'!AC24</x:f>
        <x:v>0</x:v>
      </x:c>
      <x:c r="AD9" s="37" t="n">
        <x:f>-'Financial_Statements'!AD24</x:f>
        <x:v>0</x:v>
      </x:c>
      <x:c r="AE9" s="37" t="n">
        <x:f>-'Financial_Statements'!AE24</x:f>
        <x:v>0</x:v>
      </x:c>
      <x:c r="AF9" s="37" t="n">
        <x:f>-'Financial_Statements'!AF24</x:f>
        <x:v>0</x:v>
      </x:c>
      <x:c r="AG9" s="37" t="n">
        <x:f>-'Financial_Statements'!AG24</x:f>
        <x:v>0</x:v>
      </x:c>
      <x:c r="AH9" s="37" t="n">
        <x:f>-'Financial_Statements'!AH24</x:f>
        <x:v>0</x:v>
      </x:c>
      <x:c r="AI9" s="37" t="n">
        <x:f>-'Financial_Statements'!AI24</x:f>
        <x:v>0</x:v>
      </x:c>
      <x:c r="AJ9" s="37" t="n">
        <x:f>-'Financial_Statements'!AJ24</x:f>
        <x:v>0</x:v>
      </x:c>
      <x:c r="AK9" s="37" t="n">
        <x:f>-'Financial_Statements'!AK24</x:f>
        <x:v>0</x:v>
      </x:c>
    </x:row>
    <x:row r="10">
      <x:c r="A10" s="36" t="str">
        <x:v>Variación de clientes</x:v>
      </x:c>
      <x:c r="B10" s="37" t="n">
        <x:f>SUMIFS('Balance_Sheet_Data'!$E$2:$E$630,'Balance_Sheet_Data'!$A$2:$A$630,"2023-12",'Balance_Sheet_Data'!$C$2:$C$630,"1100")-'Financial_Statements'!B34</x:f>
        <x:v>169355</x:v>
      </x:c>
      <x:c r="C10" s="37" t="n">
        <x:f>'Financial_Statements'!B34-'Financial_Statements'!C34</x:f>
        <x:v>-561338</x:v>
      </x:c>
      <x:c r="D10" s="37" t="n">
        <x:f>'Financial_Statements'!C34-'Financial_Statements'!D34</x:f>
        <x:v>-105696</x:v>
      </x:c>
      <x:c r="E10" s="37" t="n">
        <x:f>'Financial_Statements'!D34-'Financial_Statements'!E34</x:f>
        <x:v>-137913</x:v>
      </x:c>
      <x:c r="F10" s="37" t="n">
        <x:f>'Financial_Statements'!E34-'Financial_Statements'!F34</x:f>
        <x:v>-102865</x:v>
      </x:c>
      <x:c r="G10" s="37" t="n">
        <x:f>'Financial_Statements'!F34-'Financial_Statements'!G34</x:f>
        <x:v>-353290</x:v>
      </x:c>
      <x:c r="H10" s="37" t="n">
        <x:f>'Financial_Statements'!G34-'Financial_Statements'!H34</x:f>
        <x:v>533725</x:v>
      </x:c>
      <x:c r="I10" s="37" t="n">
        <x:f>'Financial_Statements'!H34-'Financial_Statements'!I34</x:f>
        <x:v>249178</x:v>
      </x:c>
      <x:c r="J10" s="37" t="n">
        <x:f>'Financial_Statements'!I34-'Financial_Statements'!J34</x:f>
        <x:v>-935064</x:v>
      </x:c>
      <x:c r="K10" s="37" t="n">
        <x:f>'Financial_Statements'!J34-'Financial_Statements'!K34</x:f>
        <x:v>21357</x:v>
      </x:c>
      <x:c r="L10" s="37" t="n">
        <x:f>'Financial_Statements'!K34-'Financial_Statements'!L34</x:f>
        <x:v>-426760</x:v>
      </x:c>
      <x:c r="M10" s="37" t="n">
        <x:f>'Financial_Statements'!L34-'Financial_Statements'!M34</x:f>
        <x:v>-223724</x:v>
      </x:c>
      <x:c r="N10" s="37" t="n">
        <x:f>'Financial_Statements'!M34-'Financial_Statements'!N34</x:f>
        <x:v>1683510</x:v>
      </x:c>
      <x:c r="O10" s="37" t="n">
        <x:f>'Financial_Statements'!N34-'Financial_Statements'!O34</x:f>
        <x:v>-698904</x:v>
      </x:c>
      <x:c r="P10" s="37" t="n">
        <x:f>'Financial_Statements'!O34-'Financial_Statements'!P34</x:f>
        <x:v>182218</x:v>
      </x:c>
      <x:c r="Q10" s="37" t="n">
        <x:f>'Financial_Statements'!P34-'Financial_Statements'!Q34</x:f>
        <x:v>-1080233</x:v>
      </x:c>
      <x:c r="R10" s="37" t="n">
        <x:f>'Financial_Statements'!Q34-'Financial_Statements'!R34</x:f>
        <x:v>-47795</x:v>
      </x:c>
      <x:c r="S10" s="37" t="n">
        <x:f>'Financial_Statements'!R34-'Financial_Statements'!S34</x:f>
        <x:v>-365044</x:v>
      </x:c>
      <x:c r="T10" s="37" t="n">
        <x:f>'Financial_Statements'!S34-'Financial_Statements'!T34</x:f>
        <x:v>258446</x:v>
      </x:c>
      <x:c r="U10" s="37" t="n">
        <x:f>'Financial_Statements'!T34-'Financial_Statements'!U34</x:f>
        <x:v>317018</x:v>
      </x:c>
      <x:c r="V10" s="37" t="n">
        <x:f>'Financial_Statements'!U34-'Financial_Statements'!V34</x:f>
        <x:v>389440</x:v>
      </x:c>
      <x:c r="W10" s="37" t="n">
        <x:f>'Financial_Statements'!V34-'Financial_Statements'!W34</x:f>
        <x:v>-27120</x:v>
      </x:c>
      <x:c r="X10" s="37" t="n">
        <x:f>'Financial_Statements'!W34-'Financial_Statements'!X34</x:f>
        <x:v>-506245</x:v>
      </x:c>
      <x:c r="Y10" s="37" t="n">
        <x:f>'Financial_Statements'!X34-'Financial_Statements'!Y34</x:f>
        <x:v>-328623</x:v>
      </x:c>
      <x:c r="Z10" s="37" t="n">
        <x:f>'Financial_Statements'!Y34-'Financial_Statements'!Z34</x:f>
        <x:v>1652734</x:v>
      </x:c>
      <x:c r="AA10" s="37" t="n">
        <x:f>'Financial_Statements'!Z34-'Financial_Statements'!AA34</x:f>
        <x:v>-841347</x:v>
      </x:c>
      <x:c r="AB10" s="37" t="n">
        <x:f>'Financial_Statements'!AA34-'Financial_Statements'!AB34</x:f>
        <x:v>328553</x:v>
      </x:c>
      <x:c r="AC10" s="37" t="n">
        <x:f>'Financial_Statements'!AB34-'Financial_Statements'!AC34</x:f>
        <x:v>-156702</x:v>
      </x:c>
      <x:c r="AD10" s="37" t="n">
        <x:f>'Financial_Statements'!AC34-'Financial_Statements'!AD34</x:f>
        <x:v>-121316</x:v>
      </x:c>
      <x:c r="AE10" s="37" t="n">
        <x:f>'Financial_Statements'!AD34-'Financial_Statements'!AE34</x:f>
        <x:v>-396654</x:v>
      </x:c>
      <x:c r="AF10" s="37" t="n">
        <x:f>'Financial_Statements'!AE34-'Financial_Statements'!AF34</x:f>
        <x:v>571215</x:v>
      </x:c>
      <x:c r="AG10" s="37" t="n">
        <x:f>'Financial_Statements'!AF34-'Financial_Statements'!AG34</x:f>
        <x:v>261837</x:v>
      </x:c>
      <x:c r="AH10" s="37" t="n">
        <x:f>'Financial_Statements'!AG34-'Financial_Statements'!AH34</x:f>
        <x:v>-1036084</x:v>
      </x:c>
      <x:c r="AI10" s="37" t="n">
        <x:f>'Financial_Statements'!AH34-'Financial_Statements'!AI34</x:f>
        <x:v>14057</x:v>
      </x:c>
      <x:c r="AJ10" s="37" t="n">
        <x:f>'Financial_Statements'!AI34-'Financial_Statements'!AJ34</x:f>
        <x:v>-476070</x:v>
      </x:c>
      <x:c r="AK10" s="37" t="n">
        <x:f>'Financial_Statements'!AJ34-'Financial_Statements'!AK34</x:f>
        <x:v>-249417</x:v>
      </x:c>
    </x:row>
    <x:row r="11">
      <x:c r="A11" s="36" t="str">
        <x:v>Variación de existencias</x:v>
      </x:c>
      <x:c r="B11" s="37" t="n">
        <x:f>SUMIFS('Balance_Sheet_Data'!$E$2:$E$630,'Balance_Sheet_Data'!$A$2:$A$630,"2023-12",'Balance_Sheet_Data'!$C$2:$C$630,"1200")-'Financial_Statements'!B35</x:f>
        <x:v>212352</x:v>
      </x:c>
      <x:c r="C11" s="37" t="n">
        <x:f>'Financial_Statements'!B35-'Financial_Statements'!C35</x:f>
        <x:v>-306688</x:v>
      </x:c>
      <x:c r="D11" s="37" t="n">
        <x:f>'Financial_Statements'!C35-'Financial_Statements'!D35</x:f>
        <x:v>-26724</x:v>
      </x:c>
      <x:c r="E11" s="37" t="n">
        <x:f>'Financial_Statements'!D35-'Financial_Statements'!E35</x:f>
        <x:v>-41599</x:v>
      </x:c>
      <x:c r="F11" s="37" t="n">
        <x:f>'Financial_Statements'!E35-'Financial_Statements'!F35</x:f>
        <x:v>-18981</x:v>
      </x:c>
      <x:c r="G11" s="37" t="n">
        <x:f>'Financial_Statements'!F35-'Financial_Statements'!G35</x:f>
        <x:v>-160910</x:v>
      </x:c>
      <x:c r="H11" s="37" t="n">
        <x:f>'Financial_Statements'!G35-'Financial_Statements'!H35</x:f>
        <x:v>338181</x:v>
      </x:c>
      <x:c r="I11" s="37" t="n">
        <x:f>'Financial_Statements'!H35-'Financial_Statements'!I35</x:f>
        <x:v>169524</x:v>
      </x:c>
      <x:c r="J11" s="37" t="n">
        <x:f>'Financial_Statements'!I35-'Financial_Statements'!J35</x:f>
        <x:v>-489414</x:v>
      </x:c>
      <x:c r="K11" s="37" t="n">
        <x:f>'Financial_Statements'!J35-'Financial_Statements'!K35</x:f>
        <x:v>34454</x:v>
      </x:c>
      <x:c r="L11" s="37" t="n">
        <x:f>'Financial_Statements'!K35-'Financial_Statements'!L35</x:f>
        <x:v>-216475</x:v>
      </x:c>
      <x:c r="M11" s="37" t="n">
        <x:f>'Financial_Statements'!L35-'Financial_Statements'!M35</x:f>
        <x:v>-112592</x:v>
      </x:c>
      <x:c r="N11" s="37" t="n">
        <x:f>'Financial_Statements'!M35-'Financial_Statements'!N35</x:f>
        <x:v>913710</x:v>
      </x:c>
      <x:c r="O11" s="37" t="n">
        <x:f>'Financial_Statements'!N35-'Financial_Statements'!O35</x:f>
        <x:v>-384586</x:v>
      </x:c>
      <x:c r="P11" s="37" t="n">
        <x:f>'Financial_Statements'!O35-'Financial_Statements'!P35</x:f>
        <x:v>87879</x:v>
      </x:c>
      <x:c r="Q11" s="37" t="n">
        <x:f>'Financial_Statements'!P35-'Financial_Statements'!Q35</x:f>
        <x:v>-670891</x:v>
      </x:c>
      <x:c r="R11" s="37" t="n">
        <x:f>'Financial_Statements'!Q35-'Financial_Statements'!R35</x:f>
        <x:v>-45441</x:v>
      </x:c>
      <x:c r="S11" s="37" t="n">
        <x:f>'Financial_Statements'!R35-'Financial_Statements'!S35</x:f>
        <x:v>-226821</x:v>
      </x:c>
      <x:c r="T11" s="37" t="n">
        <x:f>'Financial_Statements'!S35-'Financial_Statements'!T35</x:f>
        <x:v>123213</x:v>
      </x:c>
      <x:c r="U11" s="37" t="n">
        <x:f>'Financial_Statements'!T35-'Financial_Statements'!U35</x:f>
        <x:v>264862</x:v>
      </x:c>
      <x:c r="V11" s="37" t="n">
        <x:f>'Financial_Statements'!U35-'Financial_Statements'!V35</x:f>
        <x:v>132505</x:v>
      </x:c>
      <x:c r="W11" s="37" t="n">
        <x:f>'Financial_Statements'!V35-'Financial_Statements'!W35</x:f>
        <x:v>-36048</x:v>
      </x:c>
      <x:c r="X11" s="37" t="n">
        <x:f>'Financial_Statements'!W35-'Financial_Statements'!X35</x:f>
        <x:v>-308038</x:v>
      </x:c>
      <x:c r="Y11" s="37" t="n">
        <x:f>'Financial_Statements'!X35-'Financial_Statements'!Y35</x:f>
        <x:v>-204673</x:v>
      </x:c>
      <x:c r="Z11" s="37" t="n">
        <x:f>'Financial_Statements'!Y35-'Financial_Statements'!Z35</x:f>
        <x:v>942860</x:v>
      </x:c>
      <x:c r="AA11" s="37" t="n">
        <x:f>'Financial_Statements'!Z35-'Financial_Statements'!AA35</x:f>
        <x:v>-493938</x:v>
      </x:c>
      <x:c r="AB11" s="37" t="n">
        <x:f>'Financial_Statements'!AA35-'Financial_Statements'!AB35</x:f>
        <x:v>262713</x:v>
      </x:c>
      <x:c r="AC11" s="37" t="n">
        <x:f>'Financial_Statements'!AB35-'Financial_Statements'!AC35</x:f>
        <x:v>-25787</x:v>
      </x:c>
      <x:c r="AD11" s="37" t="n">
        <x:f>'Financial_Statements'!AC35-'Financial_Statements'!AD35</x:f>
        <x:v>-69666</x:v>
      </x:c>
      <x:c r="AE11" s="37" t="n">
        <x:f>'Financial_Statements'!AD35-'Financial_Statements'!AE35</x:f>
        <x:v>-221860</x:v>
      </x:c>
      <x:c r="AF11" s="37" t="n">
        <x:f>'Financial_Statements'!AE35-'Financial_Statements'!AF35</x:f>
        <x:v>317410</x:v>
      </x:c>
      <x:c r="AG11" s="37" t="n">
        <x:f>'Financial_Statements'!AF35-'Financial_Statements'!AG35</x:f>
        <x:v>145587</x:v>
      </x:c>
      <x:c r="AH11" s="37" t="n">
        <x:f>'Financial_Statements'!AG35-'Financial_Statements'!AH35</x:f>
        <x:v>-576672</x:v>
      </x:c>
      <x:c r="AI11" s="37" t="n">
        <x:f>'Financial_Statements'!AH35-'Financial_Statements'!AI35</x:f>
        <x:v>8036</x:v>
      </x:c>
      <x:c r="AJ11" s="37" t="n">
        <x:f>'Financial_Statements'!AI35-'Financial_Statements'!AJ35</x:f>
        <x:v>-264299</x:v>
      </x:c>
      <x:c r="AK11" s="37" t="n">
        <x:f>'Financial_Statements'!AJ35-'Financial_Statements'!AK35</x:f>
        <x:v>-137243</x:v>
      </x:c>
    </x:row>
    <x:row r="12">
      <x:c r="A12" s="36" t="str">
        <x:v>Variación de otros activos corrientes</x:v>
      </x:c>
      <x:c r="B12" s="37" t="n">
        <x:f>SUMIFS('Balance_Sheet_Data'!$E$2:$E$630,'Balance_Sheet_Data'!$A$2:$A$630,"2023-12",'Balance_Sheet_Data'!$C$2:$C$630,"1300")-'Financial_Statements'!B36</x:f>
        <x:v>51900</x:v>
      </x:c>
      <x:c r="C12" s="37" t="n">
        <x:f>'Financial_Statements'!B36-'Financial_Statements'!C36</x:f>
        <x:v>-21668</x:v>
      </x:c>
      <x:c r="D12" s="37" t="n">
        <x:f>'Financial_Statements'!C36-'Financial_Statements'!D36</x:f>
        <x:v>-46540</x:v>
      </x:c>
      <x:c r="E12" s="37" t="n">
        <x:f>'Financial_Statements'!D36-'Financial_Statements'!E36</x:f>
        <x:v>8745</x:v>
      </x:c>
      <x:c r="F12" s="37" t="n">
        <x:f>'Financial_Statements'!E36-'Financial_Statements'!F36</x:f>
        <x:v>-28525</x:v>
      </x:c>
      <x:c r="G12" s="37" t="n">
        <x:f>'Financial_Statements'!F36-'Financial_Statements'!G36</x:f>
        <x:v>-16273</x:v>
      </x:c>
      <x:c r="H12" s="37" t="n">
        <x:f>'Financial_Statements'!G36-'Financial_Statements'!H36</x:f>
        <x:v>40365</x:v>
      </x:c>
      <x:c r="I12" s="37" t="n">
        <x:f>'Financial_Statements'!H36-'Financial_Statements'!I36</x:f>
        <x:v>28184</x:v>
      </x:c>
      <x:c r="J12" s="37" t="n">
        <x:f>'Financial_Statements'!I36-'Financial_Statements'!J36</x:f>
        <x:v>-86332</x:v>
      </x:c>
      <x:c r="K12" s="37" t="n">
        <x:f>'Financial_Statements'!J36-'Financial_Statements'!K36</x:f>
        <x:v>-23093</x:v>
      </x:c>
      <x:c r="L12" s="37" t="n">
        <x:f>'Financial_Statements'!K36-'Financial_Statements'!L36</x:f>
        <x:v>-29768</x:v>
      </x:c>
      <x:c r="M12" s="37" t="n">
        <x:f>'Financial_Statements'!L36-'Financial_Statements'!M36</x:f>
        <x:v>-56028</x:v>
      </x:c>
      <x:c r="N12" s="37" t="n">
        <x:f>'Financial_Statements'!M36-'Financial_Statements'!N36</x:f>
        <x:v>191470</x:v>
      </x:c>
      <x:c r="O12" s="37" t="n">
        <x:f>'Financial_Statements'!N36-'Financial_Statements'!O36</x:f>
        <x:v>-22984</x:v>
      </x:c>
      <x:c r="P12" s="37" t="n">
        <x:f>'Financial_Statements'!O36-'Financial_Statements'!P36</x:f>
        <x:v>-49609</x:v>
      </x:c>
      <x:c r="Q12" s="37" t="n">
        <x:f>'Financial_Statements'!P36-'Financial_Statements'!Q36</x:f>
        <x:v>48654</x:v>
      </x:c>
      <x:c r="R12" s="37" t="n">
        <x:f>'Financial_Statements'!Q36-'Financial_Statements'!R36</x:f>
        <x:v>-28463</x:v>
      </x:c>
      <x:c r="S12" s="37" t="n">
        <x:f>'Financial_Statements'!R36-'Financial_Statements'!S36</x:f>
        <x:v>-16120</x:v>
      </x:c>
      <x:c r="T12" s="37" t="n">
        <x:f>'Financial_Statements'!S36-'Financial_Statements'!T36</x:f>
        <x:v>1556</x:v>
      </x:c>
      <x:c r="U12" s="37" t="n">
        <x:f>'Financial_Statements'!T36-'Financial_Statements'!U36</x:f>
        <x:v>30377</x:v>
      </x:c>
      <x:c r="V12" s="37" t="n">
        <x:f>'Financial_Statements'!U36-'Financial_Statements'!V36</x:f>
        <x:v>-92032</x:v>
      </x:c>
      <x:c r="W12" s="37" t="n">
        <x:f>'Financial_Statements'!V36-'Financial_Statements'!W36</x:f>
        <x:v>-24409</x:v>
      </x:c>
      <x:c r="X12" s="37" t="n">
        <x:f>'Financial_Statements'!W36-'Financial_Statements'!X36</x:f>
        <x:v>-31522</x:v>
      </x:c>
      <x:c r="Y12" s="37" t="n">
        <x:f>'Financial_Statements'!X36-'Financial_Statements'!Y36</x:f>
        <x:v>-59535</x:v>
      </x:c>
      <x:c r="Z12" s="37" t="n">
        <x:f>'Financial_Statements'!Y36-'Financial_Statements'!Z36</x:f>
        <x:v>204624</x:v>
      </x:c>
      <x:c r="AA12" s="37" t="n">
        <x:f>'Financial_Statements'!Z36-'Financial_Statements'!AA36</x:f>
        <x:v>-24300</x:v>
      </x:c>
      <x:c r="AB12" s="37" t="n">
        <x:f>'Financial_Statements'!AA36-'Financial_Statements'!AB36</x:f>
        <x:v>-77318</x:v>
      </x:c>
      <x:c r="AC12" s="37" t="n">
        <x:f>'Financial_Statements'!AB36-'Financial_Statements'!AC36</x:f>
        <x:v>10867</x:v>
      </x:c>
      <x:c r="AD12" s="37" t="n">
        <x:f>'Financial_Statements'!AC36-'Financial_Statements'!AD36</x:f>
        <x:v>-33155</x:v>
      </x:c>
      <x:c r="AE12" s="37" t="n">
        <x:f>'Financial_Statements'!AD36-'Financial_Statements'!AE36</x:f>
        <x:v>-18657</x:v>
      </x:c>
      <x:c r="AF12" s="37" t="n">
        <x:f>'Financial_Statements'!AE36-'Financial_Statements'!AF36</x:f>
        <x:v>48130</x:v>
      </x:c>
      <x:c r="AG12" s="37" t="n">
        <x:f>'Financial_Statements'!AF36-'Financial_Statements'!AG36</x:f>
        <x:v>33710</x:v>
      </x:c>
      <x:c r="AH12" s="37" t="n">
        <x:f>'Financial_Statements'!AG36-'Financial_Statements'!AH36</x:f>
        <x:v>-101153</x:v>
      </x:c>
      <x:c r="AI12" s="37" t="n">
        <x:f>'Financial_Statements'!AH36-'Financial_Statements'!AI36</x:f>
        <x:v>-26625</x:v>
      </x:c>
      <x:c r="AJ12" s="37" t="n">
        <x:f>'Financial_Statements'!AI36-'Financial_Statements'!AJ36</x:f>
        <x:v>-34440</x:v>
      </x:c>
      <x:c r="AK12" s="37" t="n">
        <x:f>'Financial_Statements'!AJ36-'Financial_Statements'!AK36</x:f>
        <x:v>-65250</x:v>
      </x:c>
    </x:row>
    <x:row r="13">
      <x:c r="A13" s="36" t="str">
        <x:v>Variación de proveedores</x:v>
      </x:c>
      <x:c r="B13" s="37" t="n">
        <x:f>'Financial_Statements'!B42-SUMIFS('Balance_Sheet_Data'!$E$2:$E$630,'Balance_Sheet_Data'!$A$2:$A$630,"2023-12",'Balance_Sheet_Data'!$C$2:$C$630,"2000")</x:f>
        <x:v>-465774</x:v>
      </x:c>
      <x:c r="C13" s="37" t="n">
        <x:f>'Financial_Statements'!C42-'Financial_Statements'!B42</x:f>
        <x:v>300556</x:v>
      </x:c>
      <x:c r="D13" s="37" t="n">
        <x:f>'Financial_Statements'!D42-'Financial_Statements'!C42</x:f>
        <x:v>52110</x:v>
      </x:c>
      <x:c r="E13" s="37" t="n">
        <x:f>'Financial_Statements'!E42-'Financial_Statements'!D42</x:f>
        <x:v>71575</x:v>
      </x:c>
      <x:c r="F13" s="37" t="n">
        <x:f>'Financial_Statements'!F42-'Financial_Statements'!E42</x:f>
        <x:v>55334</x:v>
      </x:c>
      <x:c r="G13" s="37" t="n">
        <x:f>'Financial_Statements'!G42-'Financial_Statements'!F42</x:f>
        <x:v>195314</x:v>
      </x:c>
      <x:c r="H13" s="37" t="n">
        <x:f>'Financial_Statements'!H42-'Financial_Statements'!G42</x:f>
        <x:v>-284211</x:v>
      </x:c>
      <x:c r="I13" s="37" t="n">
        <x:f>'Financial_Statements'!I42-'Financial_Statements'!H42</x:f>
        <x:v>-126285</x:v>
      </x:c>
      <x:c r="J13" s="37" t="n">
        <x:f>'Financial_Statements'!J42-'Financial_Statements'!I42</x:f>
        <x:v>527656</x:v>
      </x:c>
      <x:c r="K13" s="37" t="n">
        <x:f>'Financial_Statements'!K42-'Financial_Statements'!J42</x:f>
        <x:v>6904</x:v>
      </x:c>
      <x:c r="L13" s="37" t="n">
        <x:f>'Financial_Statements'!L42-'Financial_Statements'!K42</x:f>
        <x:v>258717</x:v>
      </x:c>
      <x:c r="M13" s="37" t="n">
        <x:f>'Financial_Statements'!M42-'Financial_Statements'!L42</x:f>
        <x:v>149225</x:v>
      </x:c>
      <x:c r="N13" s="37" t="n">
        <x:f>'Financial_Statements'!N42-'Financial_Statements'!M42</x:f>
        <x:v>-925619</x:v>
      </x:c>
      <x:c r="O13" s="37" t="n">
        <x:f>'Financial_Statements'!O42-'Financial_Statements'!N42</x:f>
        <x:v>413389</x:v>
      </x:c>
      <x:c r="P13" s="37" t="n">
        <x:f>'Financial_Statements'!P42-'Financial_Statements'!O42</x:f>
        <x:v>-88273</x:v>
      </x:c>
      <x:c r="Q13" s="37" t="n">
        <x:f>'Financial_Statements'!Q42-'Financial_Statements'!P42</x:f>
        <x:v>-420685</x:v>
      </x:c>
      <x:c r="R13" s="37" t="n">
        <x:f>'Financial_Statements'!R42-'Financial_Statements'!Q42</x:f>
        <x:v>17564</x:v>
      </x:c>
      <x:c r="S13" s="37" t="n">
        <x:f>'Financial_Statements'!S42-'Financial_Statements'!R42</x:f>
        <x:v>142633</x:v>
      </x:c>
      <x:c r="T13" s="37" t="n">
        <x:f>'Financial_Statements'!T42-'Financial_Statements'!S42</x:f>
        <x:v>-119748</x:v>
      </x:c>
      <x:c r="U13" s="37" t="n">
        <x:f>'Financial_Statements'!U42-'Financial_Statements'!T42</x:f>
        <x:v>-223717</x:v>
      </x:c>
      <x:c r="V13" s="37" t="n">
        <x:f>'Financial_Statements'!V42-'Financial_Statements'!U42</x:f>
        <x:v>859020</x:v>
      </x:c>
      <x:c r="W13" s="37" t="n">
        <x:f>'Financial_Statements'!W42-'Financial_Statements'!V42</x:f>
        <x:v>-19485</x:v>
      </x:c>
      <x:c r="X13" s="37" t="n">
        <x:f>'Financial_Statements'!X42-'Financial_Statements'!W42</x:f>
        <x:v>238825</x:v>
      </x:c>
      <x:c r="Y13" s="37" t="n">
        <x:f>'Financial_Statements'!Y42-'Financial_Statements'!X42</x:f>
        <x:v>132129</x:v>
      </x:c>
      <x:c r="Z13" s="37" t="n">
        <x:f>'Financial_Statements'!Z42-'Financial_Statements'!Y42</x:f>
        <x:v>-935763</x:v>
      </x:c>
      <x:c r="AA13" s="37" t="n">
        <x:f>'Financial_Statements'!AA42-'Financial_Statements'!Z42</x:f>
        <x:v>408780</x:v>
      </x:c>
      <x:c r="AB13" s="37" t="n">
        <x:f>'Financial_Statements'!AB42-'Financial_Statements'!AA42</x:f>
        <x:v>225775</x:v>
      </x:c>
      <x:c r="AC13" s="37" t="n">
        <x:f>'Financial_Statements'!AC42-'Financial_Statements'!AB42</x:f>
        <x:v>-14683</x:v>
      </x:c>
      <x:c r="AD13" s="37" t="n">
        <x:f>'Financial_Statements'!AD42-'Financial_Statements'!AC42</x:f>
        <x:v>39778</x:v>
      </x:c>
      <x:c r="AE13" s="37" t="n">
        <x:f>'Financial_Statements'!AE42-'Financial_Statements'!AD42</x:f>
        <x:v>205716</x:v>
      </x:c>
      <x:c r="AF13" s="37" t="n">
        <x:f>'Financial_Statements'!AF42-'Financial_Statements'!AE42</x:f>
        <x:v>-336718</x:v>
      </x:c>
      <x:c r="AG13" s="37" t="n">
        <x:f>'Financial_Statements'!AG42-'Financial_Statements'!AF42</x:f>
        <x:v>-148536</x:v>
      </x:c>
      <x:c r="AH13" s="37" t="n">
        <x:f>'Financial_Statements'!AH42-'Financial_Statements'!AG42</x:f>
        <x:v>604026</x:v>
      </x:c>
      <x:c r="AI13" s="37" t="n">
        <x:f>'Financial_Statements'!AI42-'Financial_Statements'!AH42</x:f>
        <x:v>17463</x:v>
      </x:c>
      <x:c r="AJ13" s="37" t="n">
        <x:f>'Financial_Statements'!AJ42-'Financial_Statements'!AI42</x:f>
        <x:v>313764</x:v>
      </x:c>
      <x:c r="AK13" s="37" t="n">
        <x:f>'Financial_Statements'!AK42-'Financial_Statements'!AJ42</x:f>
        <x:v>197245</x:v>
      </x:c>
    </x:row>
    <x:row r="14">
      <x:c r="A14" s="36" t="str">
        <x:v>Variación de acreedores y devengos</x:v>
      </x:c>
      <x:c r="B14" s="37" t="n">
        <x:f>'Financial_Statements'!B43-SUMIFS('Balance_Sheet_Data'!$E$2:$E$630,'Balance_Sheet_Data'!$A$2:$A$630,"2023-12",'Balance_Sheet_Data'!$C$2:$C$630,"2100")</x:f>
        <x:v>-217000</x:v>
      </x:c>
      <x:c r="C14" s="37" t="n">
        <x:f>'Financial_Statements'!C43-'Financial_Statements'!B43</x:f>
        <x:v>30955</x:v>
      </x:c>
      <x:c r="D14" s="37" t="n">
        <x:f>'Financial_Statements'!D43-'Financial_Statements'!C43</x:f>
        <x:v>66485</x:v>
      </x:c>
      <x:c r="E14" s="37" t="n">
        <x:f>'Financial_Statements'!E43-'Financial_Statements'!D43</x:f>
        <x:v>-12493</x:v>
      </x:c>
      <x:c r="F14" s="37" t="n">
        <x:f>'Financial_Statements'!F43-'Financial_Statements'!E43</x:f>
        <x:v>40751</x:v>
      </x:c>
      <x:c r="G14" s="37" t="n">
        <x:f>'Financial_Statements'!G43-'Financial_Statements'!F43</x:f>
        <x:v>23246</x:v>
      </x:c>
      <x:c r="H14" s="37" t="n">
        <x:f>'Financial_Statements'!H43-'Financial_Statements'!G43</x:f>
        <x:v>-57664</x:v>
      </x:c>
      <x:c r="I14" s="37" t="n">
        <x:f>'Financial_Statements'!I43-'Financial_Statements'!H43</x:f>
        <x:v>-40263</x:v>
      </x:c>
      <x:c r="J14" s="37" t="n">
        <x:f>'Financial_Statements'!J43-'Financial_Statements'!I43</x:f>
        <x:v>123331</x:v>
      </x:c>
      <x:c r="K14" s="37" t="n">
        <x:f>'Financial_Statements'!K43-'Financial_Statements'!J43</x:f>
        <x:v>32990</x:v>
      </x:c>
      <x:c r="L14" s="37" t="n">
        <x:f>'Financial_Statements'!L43-'Financial_Statements'!K43</x:f>
        <x:v>42526</x:v>
      </x:c>
      <x:c r="M14" s="37" t="n">
        <x:f>'Financial_Statements'!M43-'Financial_Statements'!L43</x:f>
        <x:v>80040</x:v>
      </x:c>
      <x:c r="N14" s="37" t="n">
        <x:f>'Financial_Statements'!N43-'Financial_Statements'!M43</x:f>
        <x:v>-273528</x:v>
      </x:c>
      <x:c r="O14" s="37" t="n">
        <x:f>'Financial_Statements'!O43-'Financial_Statements'!N43</x:f>
        <x:v>32834</x:v>
      </x:c>
      <x:c r="P14" s="37" t="n">
        <x:f>'Financial_Statements'!P43-'Financial_Statements'!O43</x:f>
        <x:v>70870</x:v>
      </x:c>
      <x:c r="Q14" s="37" t="n">
        <x:f>'Financial_Statements'!Q43-'Financial_Statements'!P43</x:f>
        <x:v>-69506</x:v>
      </x:c>
      <x:c r="R14" s="37" t="n">
        <x:f>'Financial_Statements'!R43-'Financial_Statements'!Q43</x:f>
        <x:v>40661</x:v>
      </x:c>
      <x:c r="S14" s="37" t="n">
        <x:f>'Financial_Statements'!S43-'Financial_Statements'!R43</x:f>
        <x:v>23029</x:v>
      </x:c>
      <x:c r="T14" s="37" t="n">
        <x:f>'Financial_Statements'!T43-'Financial_Statements'!S43</x:f>
        <x:v>-2223</x:v>
      </x:c>
      <x:c r="U14" s="37" t="n">
        <x:f>'Financial_Statements'!U43-'Financial_Statements'!T43</x:f>
        <x:v>-43395</x:v>
      </x:c>
      <x:c r="V14" s="37" t="n">
        <x:f>'Financial_Statements'!V43-'Financial_Statements'!U43</x:f>
        <x:v>131474</x:v>
      </x:c>
      <x:c r="W14" s="37" t="n">
        <x:f>'Financial_Statements'!W43-'Financial_Statements'!V43</x:f>
        <x:v>34870</x:v>
      </x:c>
      <x:c r="X14" s="37" t="n">
        <x:f>'Financial_Statements'!X43-'Financial_Statements'!W43</x:f>
        <x:v>45031</x:v>
      </x:c>
      <x:c r="Y14" s="37" t="n">
        <x:f>'Financial_Statements'!Y43-'Financial_Statements'!X43</x:f>
        <x:v>85051</x:v>
      </x:c>
      <x:c r="Z14" s="37" t="n">
        <x:f>'Financial_Statements'!Z43-'Financial_Statements'!Y43</x:f>
        <x:v>-292320</x:v>
      </x:c>
      <x:c r="AA14" s="37" t="n">
        <x:f>'Financial_Statements'!AA43-'Financial_Statements'!Z43</x:f>
        <x:v>34713</x:v>
      </x:c>
      <x:c r="AB14" s="37" t="n">
        <x:f>'Financial_Statements'!AB43-'Financial_Statements'!AA43</x:f>
        <x:v>110455</x:v>
      </x:c>
      <x:c r="AC14" s="37" t="n">
        <x:f>'Financial_Statements'!AC43-'Financial_Statements'!AB43</x:f>
        <x:v>-15524</x:v>
      </x:c>
      <x:c r="AD14" s="37" t="n">
        <x:f>'Financial_Statements'!AD43-'Financial_Statements'!AC43</x:f>
        <x:v>47364</x:v>
      </x:c>
      <x:c r="AE14" s="37" t="n">
        <x:f>'Financial_Statements'!AE43-'Financial_Statements'!AD43</x:f>
        <x:v>26653</x:v>
      </x:c>
      <x:c r="AF14" s="37" t="n">
        <x:f>'Financial_Statements'!AF43-'Financial_Statements'!AE43</x:f>
        <x:v>-68758</x:v>
      </x:c>
      <x:c r="AG14" s="37" t="n">
        <x:f>'Financial_Statements'!AG43-'Financial_Statements'!AF43</x:f>
        <x:v>-48156</x:v>
      </x:c>
      <x:c r="AH14" s="37" t="n">
        <x:f>'Financial_Statements'!AH43-'Financial_Statements'!AG43</x:f>
        <x:v>144504</x:v>
      </x:c>
      <x:c r="AI14" s="37" t="n">
        <x:f>'Financial_Statements'!AI43-'Financial_Statements'!AH43</x:f>
        <x:v>38035</x:v>
      </x:c>
      <x:c r="AJ14" s="37" t="n">
        <x:f>'Financial_Statements'!AJ43-'Financial_Statements'!AI43</x:f>
        <x:v>49201</x:v>
      </x:c>
      <x:c r="AK14" s="37" t="n">
        <x:f>'Financial_Statements'!AK43-'Financial_Statements'!AJ43</x:f>
        <x:v>93214</x:v>
      </x:c>
    </x:row>
    <x:row r="15">
      <x:c r="A15" s="36" t="str">
        <x:v>Variación de impuestos a pagar</x:v>
      </x:c>
      <x:c r="B15" s="37" t="n">
        <x:f>'Financial_Statements'!B44-SUMIFS('Balance_Sheet_Data'!$E$2:$E$630,'Balance_Sheet_Data'!$A$2:$A$630,"2023-12",'Balance_Sheet_Data'!$C$2:$C$630,"2200")</x:f>
        <x:v>-303572</x:v>
      </x:c>
      <x:c r="C15" s="37" t="n">
        <x:f>'Financial_Statements'!C44-'Financial_Statements'!B44</x:f>
        <x:v>4944</x:v>
      </x:c>
      <x:c r="D15" s="37" t="n">
        <x:f>'Financial_Statements'!D44-'Financial_Statements'!C44</x:f>
        <x:v>11909</x:v>
      </x:c>
      <x:c r="E15" s="37" t="n">
        <x:f>'Financial_Statements'!E44-'Financial_Statements'!D44</x:f>
        <x:v>-3087</x:v>
      </x:c>
      <x:c r="F15" s="37" t="n">
        <x:f>'Financial_Statements'!F44-'Financial_Statements'!E44</x:f>
        <x:v>7310</x:v>
      </x:c>
      <x:c r="G15" s="37" t="n">
        <x:f>'Financial_Statements'!G44-'Financial_Statements'!F44</x:f>
        <x:v>4046</x:v>
      </x:c>
      <x:c r="H15" s="37" t="n">
        <x:f>'Financial_Statements'!H44-'Financial_Statements'!G44</x:f>
        <x:v>-11732</x:v>
      </x:c>
      <x:c r="I15" s="37" t="n">
        <x:f>'Financial_Statements'!I44-'Financial_Statements'!H44</x:f>
        <x:v>-8122</x:v>
      </x:c>
      <x:c r="J15" s="37" t="n">
        <x:f>'Financial_Statements'!J44-'Financial_Statements'!I44</x:f>
        <x:v>23723</x:v>
      </x:c>
      <x:c r="K15" s="37" t="n">
        <x:f>'Financial_Statements'!K44-'Financial_Statements'!J44</x:f>
        <x:v>5759</x:v>
      </x:c>
      <x:c r="L15" s="37" t="n">
        <x:f>'Financial_Statements'!L44-'Financial_Statements'!K44</x:f>
        <x:v>7868</x:v>
      </x:c>
      <x:c r="M15" s="37" t="n">
        <x:f>'Financial_Statements'!M44-'Financial_Statements'!L44</x:f>
        <x:v>15048</x:v>
      </x:c>
      <x:c r="N15" s="37" t="n">
        <x:f>'Financial_Statements'!N44-'Financial_Statements'!M44</x:f>
        <x:v>-54675</x:v>
      </x:c>
      <x:c r="O15" s="37" t="n">
        <x:f>'Financial_Statements'!O44-'Financial_Statements'!N44</x:f>
        <x:v>5985</x:v>
      </x:c>
      <x:c r="P15" s="37" t="n">
        <x:f>'Financial_Statements'!P44-'Financial_Statements'!O44</x:f>
        <x:v>12756</x:v>
      </x:c>
      <x:c r="Q15" s="37" t="n">
        <x:f>'Financial_Statements'!Q44-'Financial_Statements'!P44</x:f>
        <x:v>-32463</x:v>
      </x:c>
      <x:c r="R15" s="37" t="n">
        <x:f>'Financial_Statements'!R44-'Financial_Statements'!Q44</x:f>
        <x:v>5315</x:v>
      </x:c>
      <x:c r="S15" s="37" t="n">
        <x:f>'Financial_Statements'!S44-'Financial_Statements'!R44</x:f>
        <x:v>-24734</x:v>
      </x:c>
      <x:c r="T15" s="37" t="n">
        <x:f>'Financial_Statements'!T44-'Financial_Statements'!S44</x:f>
        <x:v>25240</x:v>
      </x:c>
      <x:c r="U15" s="37" t="n">
        <x:f>'Financial_Statements'!U44-'Financial_Statements'!T44</x:f>
        <x:v>9142</x:v>
      </x:c>
      <x:c r="V15" s="37" t="n">
        <x:f>'Financial_Statements'!V44-'Financial_Statements'!U44</x:f>
        <x:v>34329</x:v>
      </x:c>
      <x:c r="W15" s="37" t="n">
        <x:f>'Financial_Statements'!W44-'Financial_Statements'!V44</x:f>
        <x:v>-4213</x:v>
      </x:c>
      <x:c r="X15" s="37" t="n">
        <x:f>'Financial_Statements'!X44-'Financial_Statements'!W44</x:f>
        <x:v>7317</x:v>
      </x:c>
      <x:c r="Y15" s="37" t="n">
        <x:f>'Financial_Statements'!Y44-'Financial_Statements'!X44</x:f>
        <x:v>14978</x:v>
      </x:c>
      <x:c r="Z15" s="37" t="n">
        <x:f>'Financial_Statements'!Z44-'Financial_Statements'!Y44</x:f>
        <x:v>-61433</x:v>
      </x:c>
      <x:c r="AA15" s="37" t="n">
        <x:f>'Financial_Statements'!AA44-'Financial_Statements'!Z44</x:f>
        <x:v>5941</x:v>
      </x:c>
      <x:c r="AB15" s="37" t="n">
        <x:f>'Financial_Statements'!AB44-'Financial_Statements'!AA44</x:f>
        <x:v>19655</x:v>
      </x:c>
      <x:c r="AC15" s="37" t="n">
        <x:f>'Financial_Statements'!AC44-'Financial_Statements'!AB44</x:f>
        <x:v>10573</x:v>
      </x:c>
      <x:c r="AD15" s="37" t="n">
        <x:f>'Financial_Statements'!AD44-'Financial_Statements'!AC44</x:f>
        <x:v>8952</x:v>
      </x:c>
      <x:c r="AE15" s="37" t="n">
        <x:f>'Financial_Statements'!AE44-'Financial_Statements'!AD44</x:f>
        <x:v>4934</x:v>
      </x:c>
      <x:c r="AF15" s="37" t="n">
        <x:f>'Financial_Statements'!AF44-'Financial_Statements'!AE44</x:f>
        <x:v>-14416</x:v>
      </x:c>
      <x:c r="AG15" s="37" t="n">
        <x:f>'Financial_Statements'!AG44-'Financial_Statements'!AF44</x:f>
        <x:v>-9965</x:v>
      </x:c>
      <x:c r="AH15" s="37" t="n">
        <x:f>'Financial_Statements'!AH44-'Financial_Statements'!AG44</x:f>
        <x:v>29209</x:v>
      </x:c>
      <x:c r="AI15" s="37" t="n">
        <x:f>'Financial_Statements'!AI44-'Financial_Statements'!AH44</x:f>
        <x:v>7094</x:v>
      </x:c>
      <x:c r="AJ15" s="37" t="n">
        <x:f>'Financial_Statements'!AJ44-'Financial_Statements'!AI44</x:f>
        <x:v>9817</x:v>
      </x:c>
      <x:c r="AK15" s="37" t="n">
        <x:f>'Financial_Statements'!AK44-'Financial_Statements'!AJ44</x:f>
        <x:v>18679</x:v>
      </x:c>
    </x:row>
    <x:row r="16">
      <x:c r="A16" s="38" t="str">
        <x:v>FLUJO DE CAJA OPERATIVO (CFO)</x:v>
      </x:c>
      <x:c r="B16" s="39" t="n">
        <x:f>SUM(B5:B15)</x:f>
        <x:v>-211457</x:v>
      </x:c>
      <x:c r="C16" s="39" t="n">
        <x:f>SUM(C5:C15)</x:f>
        <x:v>-198118</x:v>
      </x:c>
      <x:c r="D16" s="39" t="n">
        <x:f>SUM(D5:D15)</x:f>
        <x:v>335979</x:v>
      </x:c>
      <x:c r="E16" s="39" t="n">
        <x:f>SUM(E5:E15)</x:f>
        <x:v>265651</x:v>
      </x:c>
      <x:c r="F16" s="39" t="n">
        <x:f>SUM(F5:F15)</x:f>
        <x:v>352543</x:v>
      </x:c>
      <x:c r="G16" s="39" t="n">
        <x:f>SUM(G5:G15)</x:f>
        <x:v>103493</x:v>
      </x:c>
      <x:c r="H16" s="39" t="n">
        <x:f>SUM(H5:H15)</x:f>
        <x:v>946804</x:v>
      </x:c>
      <x:c r="I16" s="39" t="n">
        <x:f>SUM(I5:I15)</x:f>
        <x:v>645154</x:v>
      </x:c>
      <x:c r="J16" s="39" t="n">
        <x:f>SUM(J5:J15)</x:f>
        <x:v>-407592</x:v>
      </x:c>
      <x:c r="K16" s="39" t="n">
        <x:f>SUM(K5:K15)</x:f>
        <x:v>522526</x:v>
      </x:c>
      <x:c r="L16" s="39" t="n">
        <x:f>SUM(L5:L15)</x:f>
        <x:v>100597</x:v>
      </x:c>
      <x:c r="M16" s="39" t="n">
        <x:f>SUM(M5:M15)</x:f>
        <x:v>352752</x:v>
      </x:c>
      <x:c r="N16" s="39" t="n">
        <x:f>SUM(N5:N15)</x:f>
        <x:v>1917001</x:v>
      </x:c>
      <x:c r="O16" s="39" t="n">
        <x:f>SUM(O5:O15)</x:f>
        <x:v>-255987</x:v>
      </x:c>
      <x:c r="P16" s="39" t="n">
        <x:f>SUM(P5:P15)</x:f>
        <x:v>645317</x:v>
      </x:c>
      <x:c r="Q16" s="39" t="n">
        <x:f>SUM(Q5:Q15)</x:f>
        <x:v>-1864938</x:v>
      </x:c>
      <x:c r="R16" s="39" t="n">
        <x:f>SUM(R5:R15)</x:f>
        <x:v>316687</x:v>
      </x:c>
      <x:c r="S16" s="39" t="n">
        <x:f>SUM(S5:S15)</x:f>
        <x:v>-64321</x:v>
      </x:c>
      <x:c r="T16" s="39" t="n">
        <x:f>SUM(T5:T15)</x:f>
        <x:v>668158</x:v>
      </x:c>
      <x:c r="U16" s="39" t="n">
        <x:f>SUM(U5:U15)</x:f>
        <x:v>759125</x:v>
      </x:c>
      <x:c r="V16" s="39" t="n">
        <x:f>SUM(V5:V15)</x:f>
        <x:v>1908711</x:v>
      </x:c>
      <x:c r="W16" s="39" t="n">
        <x:f>SUM(W5:W15)</x:f>
        <x:v>401057</x:v>
      </x:c>
      <x:c r="X16" s="39" t="n">
        <x:f>SUM(X5:X15)</x:f>
        <x:v>-58059</x:v>
      </x:c>
      <x:c r="Y16" s="39" t="n">
        <x:f>SUM(Y5:Y15)</x:f>
        <x:v>172034</x:v>
      </x:c>
      <x:c r="Z16" s="39" t="n">
        <x:f>SUM(Z5:Z15)</x:f>
        <x:v>1909741</x:v>
      </x:c>
      <x:c r="AA16" s="39" t="n">
        <x:f>SUM(AA5:AA15)</x:f>
        <x:v>-495060</x:v>
      </x:c>
      <x:c r="AB16" s="39" t="n">
        <x:f>SUM(AB5:AB15)</x:f>
        <x:v>1331453</x:v>
      </x:c>
      <x:c r="AC16" s="39" t="n">
        <x:f>SUM(AC5:AC15)</x:f>
        <x:v>296708</x:v>
      </x:c>
      <x:c r="AD16" s="39" t="n">
        <x:f>SUM(AD5:AD15)</x:f>
        <x:v>382666</x:v>
      </x:c>
      <x:c r="AE16" s="39" t="n">
        <x:f>SUM(AE5:AE15)</x:f>
        <x:v>124655</x:v>
      </x:c>
      <x:c r="AF16" s="39" t="n">
        <x:f>SUM(AF5:AF15)</x:f>
        <x:v>1012199</x:v>
      </x:c>
      <x:c r="AG16" s="39" t="n">
        <x:f>SUM(AG5:AG15)</x:f>
        <x:v>710519</x:v>
      </x:c>
      <x:c r="AH16" s="39" t="n">
        <x:f>SUM(AH5:AH15)</x:f>
        <x:v>-392367</x:v>
      </x:c>
      <x:c r="AI16" s="39" t="n">
        <x:f>SUM(AI5:AI15)</x:f>
        <x:v>620478</x:v>
      </x:c>
      <x:c r="AJ16" s="39" t="n">
        <x:f>SUM(AJ5:AJ15)</x:f>
        <x:v>185054</x:v>
      </x:c>
      <x:c r="AK16" s="39" t="n">
        <x:f>SUM(AK5:AK15)</x:f>
        <x:v>488669</x:v>
      </x:c>
    </x:row>
    <x:row r="17">
      <x:c r="A17" s="35" t="str">
        <x:v>FLUJO DE ACTIVIDADES DE INVERSIÓN</x:v>
      </x:c>
      <x:c r="B17" s="41"/>
      <x:c r="C17" s="41"/>
      <x:c r="D17" s="41"/>
      <x:c r="E17" s="41"/>
      <x:c r="F17" s="41"/>
      <x:c r="G17" s="41"/>
      <x:c r="H17" s="41"/>
      <x:c r="I17" s="41"/>
      <x:c r="J17" s="41"/>
      <x:c r="K17" s="41"/>
      <x:c r="L17" s="41"/>
      <x:c r="M17" s="41"/>
      <x:c r="N17" s="41"/>
      <x:c r="O17" s="41"/>
      <x:c r="P17" s="41"/>
      <x:c r="Q17" s="41"/>
      <x:c r="R17" s="41"/>
      <x:c r="S17" s="41"/>
      <x:c r="T17" s="41"/>
      <x:c r="U17" s="41"/>
      <x:c r="V17" s="41"/>
      <x:c r="W17" s="41"/>
      <x:c r="X17" s="41"/>
      <x:c r="Y17" s="41"/>
      <x:c r="Z17" s="41"/>
      <x:c r="AA17" s="41"/>
      <x:c r="AB17" s="41"/>
      <x:c r="AC17" s="41"/>
      <x:c r="AD17" s="41"/>
      <x:c r="AE17" s="41"/>
      <x:c r="AF17" s="41"/>
      <x:c r="AG17" s="41"/>
      <x:c r="AH17" s="41"/>
      <x:c r="AI17" s="41"/>
      <x:c r="AJ17" s="41"/>
      <x:c r="AK17" s="41"/>
    </x:row>
    <x:row r="18">
      <x:c r="A18" s="36" t="str">
        <x:v>CAPEX</x:v>
      </x:c>
      <x:c r="B18" s="37" t="n">
        <x:f>-SUMIFS('Supplemental_Movements'!$E$2:$E$361,'Supplemental_Movements'!$A$2:$A$361,B$3,'Supplemental_Movements'!$C$2:$C$361,"CAPEX")</x:f>
        <x:v>-140000</x:v>
      </x:c>
      <x:c r="C18" s="37" t="n">
        <x:f>-SUMIFS('Supplemental_Movements'!$E$2:$E$361,'Supplemental_Movements'!$A$2:$A$361,C$3,'Supplemental_Movements'!$C$2:$C$361,"CAPEX")</x:f>
        <x:v>-148180</x:v>
      </x:c>
      <x:c r="D18" s="37" t="n">
        <x:f>-SUMIFS('Supplemental_Movements'!$E$2:$E$361,'Supplemental_Movements'!$A$2:$A$361,D$3,'Supplemental_Movements'!$C$2:$C$361,"CAPEX")</x:f>
        <x:v>-155459</x:v>
      </x:c>
      <x:c r="E18" s="37" t="n">
        <x:f>-SUMIFS('Supplemental_Movements'!$E$2:$E$361,'Supplemental_Movements'!$A$2:$A$361,E$3,'Supplemental_Movements'!$C$2:$C$361,"CAPEX")</x:f>
        <x:v>-161037</x:v>
      </x:c>
      <x:c r="F18" s="37" t="n">
        <x:f>-SUMIFS('Supplemental_Movements'!$E$2:$E$361,'Supplemental_Movements'!$A$2:$A$361,F$3,'Supplemental_Movements'!$C$2:$C$361,"CAPEX")</x:f>
        <x:v>-164298</x:v>
      </x:c>
      <x:c r="G18" s="37" t="n">
        <x:f>-SUMIFS('Supplemental_Movements'!$E$2:$E$361,'Supplemental_Movements'!$A$2:$A$361,G$3,'Supplemental_Movements'!$C$2:$C$361,"CAPEX")</x:f>
        <x:v>-164885</x:v>
      </x:c>
      <x:c r="H18" s="37" t="n">
        <x:f>-SUMIFS('Supplemental_Movements'!$E$2:$E$361,'Supplemental_Movements'!$A$2:$A$361,H$3,'Supplemental_Movements'!$C$2:$C$361,"CAPEX")</x:f>
        <x:v>-162732</x:v>
      </x:c>
      <x:c r="I18" s="37" t="n">
        <x:f>-SUMIFS('Supplemental_Movements'!$E$2:$E$361,'Supplemental_Movements'!$A$2:$A$361,I$3,'Supplemental_Movements'!$C$2:$C$361,"CAPEX")</x:f>
        <x:v>-158077</x:v>
      </x:c>
      <x:c r="J18" s="37" t="n">
        <x:f>-SUMIFS('Supplemental_Movements'!$E$2:$E$361,'Supplemental_Movements'!$A$2:$A$361,J$3,'Supplemental_Movements'!$C$2:$C$361,"CAPEX")</x:f>
        <x:v>-151432</x:v>
      </x:c>
      <x:c r="K18" s="37" t="n">
        <x:f>-SUMIFS('Supplemental_Movements'!$E$2:$E$361,'Supplemental_Movements'!$A$2:$A$361,K$3,'Supplemental_Movements'!$C$2:$C$361,"CAPEX")</x:f>
        <x:v>-143528</x:v>
      </x:c>
      <x:c r="L18" s="37" t="n">
        <x:f>-SUMIFS('Supplemental_Movements'!$E$2:$E$361,'Supplemental_Movements'!$A$2:$A$361,L$3,'Supplemental_Movements'!$C$2:$C$361,"CAPEX")</x:f>
        <x:v>-135236</x:v>
      </x:c>
      <x:c r="M18" s="37" t="n">
        <x:f>-SUMIFS('Supplemental_Movements'!$E$2:$E$361,'Supplemental_Movements'!$A$2:$A$361,M$3,'Supplemental_Movements'!$C$2:$C$361,"CAPEX")</x:f>
        <x:v>-127468</x:v>
      </x:c>
      <x:c r="N18" s="37" t="n">
        <x:f>-SUMIFS('Supplemental_Movements'!$E$2:$E$361,'Supplemental_Movements'!$A$2:$A$361,N$3,'Supplemental_Movements'!$C$2:$C$361,"CAPEX")</x:f>
        <x:v>-121080</x:v>
      </x:c>
      <x:c r="O18" s="37" t="n">
        <x:f>-SUMIFS('Supplemental_Movements'!$E$2:$E$361,'Supplemental_Movements'!$A$2:$A$361,O$3,'Supplemental_Movements'!$C$2:$C$361,"CAPEX")</x:f>
        <x:v>-116775</x:v>
      </x:c>
      <x:c r="P18" s="37" t="n">
        <x:f>-SUMIFS('Supplemental_Movements'!$E$2:$E$361,'Supplemental_Movements'!$A$2:$A$361,P$3,'Supplemental_Movements'!$C$2:$C$361,"CAPEX")</x:f>
        <x:v>-115026</x:v>
      </x:c>
      <x:c r="Q18" s="37" t="n">
        <x:f>-SUMIFS('Supplemental_Movements'!$E$2:$E$361,'Supplemental_Movements'!$A$2:$A$361,Q$3,'Supplemental_Movements'!$C$2:$C$361,"CAPEX")</x:f>
        <x:v>-116027</x:v>
      </x:c>
      <x:c r="R18" s="37" t="n">
        <x:f>-SUMIFS('Supplemental_Movements'!$E$2:$E$361,'Supplemental_Movements'!$A$2:$A$361,R$3,'Supplemental_Movements'!$C$2:$C$361,"CAPEX")</x:f>
        <x:v>-119667</x:v>
      </x:c>
      <x:c r="S18" s="37" t="n">
        <x:f>-SUMIFS('Supplemental_Movements'!$E$2:$E$361,'Supplemental_Movements'!$A$2:$A$361,S$3,'Supplemental_Movements'!$C$2:$C$361,"CAPEX")</x:f>
        <x:v>-125545</x:v>
      </x:c>
      <x:c r="T18" s="37" t="n">
        <x:f>-SUMIFS('Supplemental_Movements'!$E$2:$E$361,'Supplemental_Movements'!$A$2:$A$361,T$3,'Supplemental_Movements'!$C$2:$C$361,"CAPEX")</x:f>
        <x:v>-133015</x:v>
      </x:c>
      <x:c r="U18" s="37" t="n">
        <x:f>-SUMIFS('Supplemental_Movements'!$E$2:$E$361,'Supplemental_Movements'!$A$2:$A$361,U$3,'Supplemental_Movements'!$C$2:$C$361,"CAPEX")</x:f>
        <x:v>-141253</x:v>
      </x:c>
      <x:c r="V18" s="37" t="n">
        <x:f>-SUMIFS('Supplemental_Movements'!$E$2:$E$361,'Supplemental_Movements'!$A$2:$A$361,V$3,'Supplemental_Movements'!$C$2:$C$361,"CAPEX")</x:f>
        <x:v>-149354</x:v>
      </x:c>
      <x:c r="W18" s="37" t="n">
        <x:f>-SUMIFS('Supplemental_Movements'!$E$2:$E$361,'Supplemental_Movements'!$A$2:$A$361,W$3,'Supplemental_Movements'!$C$2:$C$361,"CAPEX")</x:f>
        <x:v>-156425</x:v>
      </x:c>
      <x:c r="X18" s="37" t="n">
        <x:f>-SUMIFS('Supplemental_Movements'!$E$2:$E$361,'Supplemental_Movements'!$A$2:$A$361,X$3,'Supplemental_Movements'!$C$2:$C$361,"CAPEX")</x:f>
        <x:v>-161687</x:v>
      </x:c>
      <x:c r="Y18" s="37" t="n">
        <x:f>-SUMIFS('Supplemental_Movements'!$E$2:$E$361,'Supplemental_Movements'!$A$2:$A$361,Y$3,'Supplemental_Movements'!$C$2:$C$361,"CAPEX")</x:f>
        <x:v>-164563</x:v>
      </x:c>
      <x:c r="Z18" s="37" t="n">
        <x:f>-SUMIFS('Supplemental_Movements'!$E$2:$E$361,'Supplemental_Movements'!$A$2:$A$361,Z$3,'Supplemental_Movements'!$C$2:$C$361,"CAPEX")</x:f>
        <x:v>-164734</x:v>
      </x:c>
      <x:c r="AA18" s="37" t="n">
        <x:f>-SUMIFS('Supplemental_Movements'!$E$2:$E$361,'Supplemental_Movements'!$A$2:$A$361,AA$3,'Supplemental_Movements'!$C$2:$C$361,"CAPEX")</x:f>
        <x:v>-162182</x:v>
      </x:c>
      <x:c r="AB18" s="37" t="n">
        <x:f>-SUMIFS('Supplemental_Movements'!$E$2:$E$361,'Supplemental_Movements'!$A$2:$A$361,AB$3,'Supplemental_Movements'!$C$2:$C$361,"CAPEX")</x:f>
        <x:v>-157189</x:v>
      </x:c>
      <x:c r="AC18" s="37" t="n">
        <x:f>-SUMIFS('Supplemental_Movements'!$E$2:$E$361,'Supplemental_Movements'!$A$2:$A$361,AC$3,'Supplemental_Movements'!$C$2:$C$361,"CAPEX")</x:f>
        <x:v>-150303</x:v>
      </x:c>
      <x:c r="AD18" s="37" t="n">
        <x:f>-SUMIFS('Supplemental_Movements'!$E$2:$E$361,'Supplemental_Movements'!$A$2:$A$361,AD$3,'Supplemental_Movements'!$C$2:$C$361,"CAPEX")</x:f>
        <x:v>-142283</x:v>
      </x:c>
      <x:c r="AE18" s="37" t="n">
        <x:f>-SUMIFS('Supplemental_Movements'!$E$2:$E$361,'Supplemental_Movements'!$A$2:$A$361,AE$3,'Supplemental_Movements'!$C$2:$C$361,"CAPEX")</x:f>
        <x:v>-134012</x:v>
      </x:c>
      <x:c r="AF18" s="37" t="n">
        <x:f>-SUMIFS('Supplemental_Movements'!$E$2:$E$361,'Supplemental_Movements'!$A$2:$A$361,AF$3,'Supplemental_Movements'!$C$2:$C$361,"CAPEX")</x:f>
        <x:v>-126399</x:v>
      </x:c>
      <x:c r="AG18" s="37" t="n">
        <x:f>-SUMIFS('Supplemental_Movements'!$E$2:$E$361,'Supplemental_Movements'!$A$2:$A$361,AG$3,'Supplemental_Movements'!$C$2:$C$361,"CAPEX")</x:f>
        <x:v>-120285</x:v>
      </x:c>
      <x:c r="AH18" s="37" t="n">
        <x:f>-SUMIFS('Supplemental_Movements'!$E$2:$E$361,'Supplemental_Movements'!$A$2:$A$361,AH$3,'Supplemental_Movements'!$C$2:$C$361,"CAPEX")</x:f>
        <x:v>-636340</x:v>
      </x:c>
      <x:c r="AI18" s="37" t="n">
        <x:f>-SUMIFS('Supplemental_Movements'!$E$2:$E$361,'Supplemental_Movements'!$A$2:$A$361,AI$3,'Supplemental_Movements'!$C$2:$C$361,"CAPEX")</x:f>
        <x:v>-115000</x:v>
      </x:c>
      <x:c r="AJ18" s="37" t="n">
        <x:f>-SUMIFS('Supplemental_Movements'!$E$2:$E$361,'Supplemental_Movements'!$A$2:$A$361,AJ$3,'Supplemental_Movements'!$C$2:$C$361,"CAPEX")</x:f>
        <x:v>-116413</x:v>
      </x:c>
      <x:c r="AK18" s="37" t="n">
        <x:f>-SUMIFS('Supplemental_Movements'!$E$2:$E$361,'Supplemental_Movements'!$A$2:$A$361,AK$3,'Supplemental_Movements'!$C$2:$C$361,"CAPEX")</x:f>
        <x:v>-120421</x:v>
      </x:c>
    </x:row>
    <x:row r="19">
      <x:c r="A19" s="36" t="str">
        <x:v>Altas de intangibles</x:v>
      </x:c>
      <x:c r="B19" s="37" t="n">
        <x:f>-SUMIFS('Supplemental_Movements'!$E$2:$E$361,'Supplemental_Movements'!$A$2:$A$361,B$3,'Supplemental_Movements'!$C$2:$C$361,"INTANGIBLE_ADDITIONS")</x:f>
        <x:v>-15000</x:v>
      </x:c>
      <x:c r="C19" s="37" t="n">
        <x:f>-SUMIFS('Supplemental_Movements'!$E$2:$E$361,'Supplemental_Movements'!$A$2:$A$361,C$3,'Supplemental_Movements'!$C$2:$C$361,"INTANGIBLE_ADDITIONS")</x:f>
        <x:v>-15000</x:v>
      </x:c>
      <x:c r="D19" s="37" t="n">
        <x:f>-SUMIFS('Supplemental_Movements'!$E$2:$E$361,'Supplemental_Movements'!$A$2:$A$361,D$3,'Supplemental_Movements'!$C$2:$C$361,"INTANGIBLE_ADDITIONS")</x:f>
        <x:v>-45000</x:v>
      </x:c>
      <x:c r="E19" s="37" t="n">
        <x:f>-SUMIFS('Supplemental_Movements'!$E$2:$E$361,'Supplemental_Movements'!$A$2:$A$361,E$3,'Supplemental_Movements'!$C$2:$C$361,"INTANGIBLE_ADDITIONS")</x:f>
        <x:v>-15000</x:v>
      </x:c>
      <x:c r="F19" s="37" t="n">
        <x:f>-SUMIFS('Supplemental_Movements'!$E$2:$E$361,'Supplemental_Movements'!$A$2:$A$361,F$3,'Supplemental_Movements'!$C$2:$C$361,"INTANGIBLE_ADDITIONS")</x:f>
        <x:v>-15000</x:v>
      </x:c>
      <x:c r="G19" s="37" t="n">
        <x:f>-SUMIFS('Supplemental_Movements'!$E$2:$E$361,'Supplemental_Movements'!$A$2:$A$361,G$3,'Supplemental_Movements'!$C$2:$C$361,"INTANGIBLE_ADDITIONS")</x:f>
        <x:v>-45000</x:v>
      </x:c>
      <x:c r="H19" s="37" t="n">
        <x:f>-SUMIFS('Supplemental_Movements'!$E$2:$E$361,'Supplemental_Movements'!$A$2:$A$361,H$3,'Supplemental_Movements'!$C$2:$C$361,"INTANGIBLE_ADDITIONS")</x:f>
        <x:v>-15000</x:v>
      </x:c>
      <x:c r="I19" s="37" t="n">
        <x:f>-SUMIFS('Supplemental_Movements'!$E$2:$E$361,'Supplemental_Movements'!$A$2:$A$361,I$3,'Supplemental_Movements'!$C$2:$C$361,"INTANGIBLE_ADDITIONS")</x:f>
        <x:v>-15000</x:v>
      </x:c>
      <x:c r="J19" s="37" t="n">
        <x:f>-SUMIFS('Supplemental_Movements'!$E$2:$E$361,'Supplemental_Movements'!$A$2:$A$361,J$3,'Supplemental_Movements'!$C$2:$C$361,"INTANGIBLE_ADDITIONS")</x:f>
        <x:v>-45000</x:v>
      </x:c>
      <x:c r="K19" s="37" t="n">
        <x:f>-SUMIFS('Supplemental_Movements'!$E$2:$E$361,'Supplemental_Movements'!$A$2:$A$361,K$3,'Supplemental_Movements'!$C$2:$C$361,"INTANGIBLE_ADDITIONS")</x:f>
        <x:v>-15000</x:v>
      </x:c>
      <x:c r="L19" s="37" t="n">
        <x:f>-SUMIFS('Supplemental_Movements'!$E$2:$E$361,'Supplemental_Movements'!$A$2:$A$361,L$3,'Supplemental_Movements'!$C$2:$C$361,"INTANGIBLE_ADDITIONS")</x:f>
        <x:v>-15000</x:v>
      </x:c>
      <x:c r="M19" s="37" t="n">
        <x:f>-SUMIFS('Supplemental_Movements'!$E$2:$E$361,'Supplemental_Movements'!$A$2:$A$361,M$3,'Supplemental_Movements'!$C$2:$C$361,"INTANGIBLE_ADDITIONS")</x:f>
        <x:v>-45000</x:v>
      </x:c>
      <x:c r="N19" s="37" t="n">
        <x:f>-SUMIFS('Supplemental_Movements'!$E$2:$E$361,'Supplemental_Movements'!$A$2:$A$361,N$3,'Supplemental_Movements'!$C$2:$C$361,"INTANGIBLE_ADDITIONS")</x:f>
        <x:v>-15000</x:v>
      </x:c>
      <x:c r="O19" s="37" t="n">
        <x:f>-SUMIFS('Supplemental_Movements'!$E$2:$E$361,'Supplemental_Movements'!$A$2:$A$361,O$3,'Supplemental_Movements'!$C$2:$C$361,"INTANGIBLE_ADDITIONS")</x:f>
        <x:v>-15000</x:v>
      </x:c>
      <x:c r="P19" s="37" t="n">
        <x:f>-SUMIFS('Supplemental_Movements'!$E$2:$E$361,'Supplemental_Movements'!$A$2:$A$361,P$3,'Supplemental_Movements'!$C$2:$C$361,"INTANGIBLE_ADDITIONS")</x:f>
        <x:v>-45000</x:v>
      </x:c>
      <x:c r="Q19" s="37" t="n">
        <x:f>-SUMIFS('Supplemental_Movements'!$E$2:$E$361,'Supplemental_Movements'!$A$2:$A$361,Q$3,'Supplemental_Movements'!$C$2:$C$361,"INTANGIBLE_ADDITIONS")</x:f>
        <x:v>-15000</x:v>
      </x:c>
      <x:c r="R19" s="37" t="n">
        <x:f>-SUMIFS('Supplemental_Movements'!$E$2:$E$361,'Supplemental_Movements'!$A$2:$A$361,R$3,'Supplemental_Movements'!$C$2:$C$361,"INTANGIBLE_ADDITIONS")</x:f>
        <x:v>-15000</x:v>
      </x:c>
      <x:c r="S19" s="37" t="n">
        <x:f>-SUMIFS('Supplemental_Movements'!$E$2:$E$361,'Supplemental_Movements'!$A$2:$A$361,S$3,'Supplemental_Movements'!$C$2:$C$361,"INTANGIBLE_ADDITIONS")</x:f>
        <x:v>-45000</x:v>
      </x:c>
      <x:c r="T19" s="37" t="n">
        <x:f>-SUMIFS('Supplemental_Movements'!$E$2:$E$361,'Supplemental_Movements'!$A$2:$A$361,T$3,'Supplemental_Movements'!$C$2:$C$361,"INTANGIBLE_ADDITIONS")</x:f>
        <x:v>-15000</x:v>
      </x:c>
      <x:c r="U19" s="37" t="n">
        <x:f>-SUMIFS('Supplemental_Movements'!$E$2:$E$361,'Supplemental_Movements'!$A$2:$A$361,U$3,'Supplemental_Movements'!$C$2:$C$361,"INTANGIBLE_ADDITIONS")</x:f>
        <x:v>-15000</x:v>
      </x:c>
      <x:c r="V19" s="37" t="n">
        <x:f>-SUMIFS('Supplemental_Movements'!$E$2:$E$361,'Supplemental_Movements'!$A$2:$A$361,V$3,'Supplemental_Movements'!$C$2:$C$361,"INTANGIBLE_ADDITIONS")</x:f>
        <x:v>-45000</x:v>
      </x:c>
      <x:c r="W19" s="37" t="n">
        <x:f>-SUMIFS('Supplemental_Movements'!$E$2:$E$361,'Supplemental_Movements'!$A$2:$A$361,W$3,'Supplemental_Movements'!$C$2:$C$361,"INTANGIBLE_ADDITIONS")</x:f>
        <x:v>-15000</x:v>
      </x:c>
      <x:c r="X19" s="37" t="n">
        <x:f>-SUMIFS('Supplemental_Movements'!$E$2:$E$361,'Supplemental_Movements'!$A$2:$A$361,X$3,'Supplemental_Movements'!$C$2:$C$361,"INTANGIBLE_ADDITIONS")</x:f>
        <x:v>-15000</x:v>
      </x:c>
      <x:c r="Y19" s="37" t="n">
        <x:f>-SUMIFS('Supplemental_Movements'!$E$2:$E$361,'Supplemental_Movements'!$A$2:$A$361,Y$3,'Supplemental_Movements'!$C$2:$C$361,"INTANGIBLE_ADDITIONS")</x:f>
        <x:v>-45000</x:v>
      </x:c>
      <x:c r="Z19" s="37" t="n">
        <x:f>-SUMIFS('Supplemental_Movements'!$E$2:$E$361,'Supplemental_Movements'!$A$2:$A$361,Z$3,'Supplemental_Movements'!$C$2:$C$361,"INTANGIBLE_ADDITIONS")</x:f>
        <x:v>-15000</x:v>
      </x:c>
      <x:c r="AA19" s="37" t="n">
        <x:f>-SUMIFS('Supplemental_Movements'!$E$2:$E$361,'Supplemental_Movements'!$A$2:$A$361,AA$3,'Supplemental_Movements'!$C$2:$C$361,"INTANGIBLE_ADDITIONS")</x:f>
        <x:v>-15000</x:v>
      </x:c>
      <x:c r="AB19" s="37" t="n">
        <x:f>-SUMIFS('Supplemental_Movements'!$E$2:$E$361,'Supplemental_Movements'!$A$2:$A$361,AB$3,'Supplemental_Movements'!$C$2:$C$361,"INTANGIBLE_ADDITIONS")</x:f>
        <x:v>-45000</x:v>
      </x:c>
      <x:c r="AC19" s="37" t="n">
        <x:f>-SUMIFS('Supplemental_Movements'!$E$2:$E$361,'Supplemental_Movements'!$A$2:$A$361,AC$3,'Supplemental_Movements'!$C$2:$C$361,"INTANGIBLE_ADDITIONS")</x:f>
        <x:v>-15000</x:v>
      </x:c>
      <x:c r="AD19" s="37" t="n">
        <x:f>-SUMIFS('Supplemental_Movements'!$E$2:$E$361,'Supplemental_Movements'!$A$2:$A$361,AD$3,'Supplemental_Movements'!$C$2:$C$361,"INTANGIBLE_ADDITIONS")</x:f>
        <x:v>-15000</x:v>
      </x:c>
      <x:c r="AE19" s="37" t="n">
        <x:f>-SUMIFS('Supplemental_Movements'!$E$2:$E$361,'Supplemental_Movements'!$A$2:$A$361,AE$3,'Supplemental_Movements'!$C$2:$C$361,"INTANGIBLE_ADDITIONS")</x:f>
        <x:v>-45000</x:v>
      </x:c>
      <x:c r="AF19" s="37" t="n">
        <x:f>-SUMIFS('Supplemental_Movements'!$E$2:$E$361,'Supplemental_Movements'!$A$2:$A$361,AF$3,'Supplemental_Movements'!$C$2:$C$361,"INTANGIBLE_ADDITIONS")</x:f>
        <x:v>-15000</x:v>
      </x:c>
      <x:c r="AG19" s="37" t="n">
        <x:f>-SUMIFS('Supplemental_Movements'!$E$2:$E$361,'Supplemental_Movements'!$A$2:$A$361,AG$3,'Supplemental_Movements'!$C$2:$C$361,"INTANGIBLE_ADDITIONS")</x:f>
        <x:v>-15000</x:v>
      </x:c>
      <x:c r="AH19" s="37" t="n">
        <x:f>-SUMIFS('Supplemental_Movements'!$E$2:$E$361,'Supplemental_Movements'!$A$2:$A$361,AH$3,'Supplemental_Movements'!$C$2:$C$361,"INTANGIBLE_ADDITIONS")</x:f>
        <x:v>-45000</x:v>
      </x:c>
      <x:c r="AI19" s="37" t="n">
        <x:f>-SUMIFS('Supplemental_Movements'!$E$2:$E$361,'Supplemental_Movements'!$A$2:$A$361,AI$3,'Supplemental_Movements'!$C$2:$C$361,"INTANGIBLE_ADDITIONS")</x:f>
        <x:v>-15000</x:v>
      </x:c>
      <x:c r="AJ19" s="37" t="n">
        <x:f>-SUMIFS('Supplemental_Movements'!$E$2:$E$361,'Supplemental_Movements'!$A$2:$A$361,AJ$3,'Supplemental_Movements'!$C$2:$C$361,"INTANGIBLE_ADDITIONS")</x:f>
        <x:v>-15000</x:v>
      </x:c>
      <x:c r="AK19" s="37" t="n">
        <x:f>-SUMIFS('Supplemental_Movements'!$E$2:$E$361,'Supplemental_Movements'!$A$2:$A$361,AK$3,'Supplemental_Movements'!$C$2:$C$361,"INTANGIBLE_ADDITIONS")</x:f>
        <x:v>-45000</x:v>
      </x:c>
    </x:row>
    <x:row r="20">
      <x:c r="A20" s="36" t="str">
        <x:v>Cobros por venta de activos</x:v>
      </x:c>
      <x:c r="B20" s="37" t="n">
        <x:f>SUMIFS('Supplemental_Movements'!$E$2:$E$361,'Supplemental_Movements'!$A$2:$A$361,B$3,'Supplemental_Movements'!$C$2:$C$361,"ASSET_SALE_PROCEEDS")</x:f>
        <x:v>0</x:v>
      </x:c>
      <x:c r="C20" s="37" t="n">
        <x:f>SUMIFS('Supplemental_Movements'!$E$2:$E$361,'Supplemental_Movements'!$A$2:$A$361,C$3,'Supplemental_Movements'!$C$2:$C$361,"ASSET_SALE_PROCEEDS")</x:f>
        <x:v>0</x:v>
      </x:c>
      <x:c r="D20" s="37" t="n">
        <x:f>SUMIFS('Supplemental_Movements'!$E$2:$E$361,'Supplemental_Movements'!$A$2:$A$361,D$3,'Supplemental_Movements'!$C$2:$C$361,"ASSET_SALE_PROCEEDS")</x:f>
        <x:v>0</x:v>
      </x:c>
      <x:c r="E20" s="37" t="n">
        <x:f>SUMIFS('Supplemental_Movements'!$E$2:$E$361,'Supplemental_Movements'!$A$2:$A$361,E$3,'Supplemental_Movements'!$C$2:$C$361,"ASSET_SALE_PROCEEDS")</x:f>
        <x:v>0</x:v>
      </x:c>
      <x:c r="F20" s="37" t="n">
        <x:f>SUMIFS('Supplemental_Movements'!$E$2:$E$361,'Supplemental_Movements'!$A$2:$A$361,F$3,'Supplemental_Movements'!$C$2:$C$361,"ASSET_SALE_PROCEEDS")</x:f>
        <x:v>0</x:v>
      </x:c>
      <x:c r="G20" s="37" t="n">
        <x:f>SUMIFS('Supplemental_Movements'!$E$2:$E$361,'Supplemental_Movements'!$A$2:$A$361,G$3,'Supplemental_Movements'!$C$2:$C$361,"ASSET_SALE_PROCEEDS")</x:f>
        <x:v>0</x:v>
      </x:c>
      <x:c r="H20" s="37" t="n">
        <x:f>SUMIFS('Supplemental_Movements'!$E$2:$E$361,'Supplemental_Movements'!$A$2:$A$361,H$3,'Supplemental_Movements'!$C$2:$C$361,"ASSET_SALE_PROCEEDS")</x:f>
        <x:v>0</x:v>
      </x:c>
      <x:c r="I20" s="37" t="n">
        <x:f>SUMIFS('Supplemental_Movements'!$E$2:$E$361,'Supplemental_Movements'!$A$2:$A$361,I$3,'Supplemental_Movements'!$C$2:$C$361,"ASSET_SALE_PROCEEDS")</x:f>
        <x:v>0</x:v>
      </x:c>
      <x:c r="J20" s="37" t="n">
        <x:f>SUMIFS('Supplemental_Movements'!$E$2:$E$361,'Supplemental_Movements'!$A$2:$A$361,J$3,'Supplemental_Movements'!$C$2:$C$361,"ASSET_SALE_PROCEEDS")</x:f>
        <x:v>0</x:v>
      </x:c>
      <x:c r="K20" s="37" t="n">
        <x:f>SUMIFS('Supplemental_Movements'!$E$2:$E$361,'Supplemental_Movements'!$A$2:$A$361,K$3,'Supplemental_Movements'!$C$2:$C$361,"ASSET_SALE_PROCEEDS")</x:f>
        <x:v>0</x:v>
      </x:c>
      <x:c r="L20" s="37" t="n">
        <x:f>SUMIFS('Supplemental_Movements'!$E$2:$E$361,'Supplemental_Movements'!$A$2:$A$361,L$3,'Supplemental_Movements'!$C$2:$C$361,"ASSET_SALE_PROCEEDS")</x:f>
        <x:v>0</x:v>
      </x:c>
      <x:c r="M20" s="37" t="n">
        <x:f>SUMIFS('Supplemental_Movements'!$E$2:$E$361,'Supplemental_Movements'!$A$2:$A$361,M$3,'Supplemental_Movements'!$C$2:$C$361,"ASSET_SALE_PROCEEDS")</x:f>
        <x:v>0</x:v>
      </x:c>
      <x:c r="N20" s="37" t="n">
        <x:f>SUMIFS('Supplemental_Movements'!$E$2:$E$361,'Supplemental_Movements'!$A$2:$A$361,N$3,'Supplemental_Movements'!$C$2:$C$361,"ASSET_SALE_PROCEEDS")</x:f>
        <x:v>0</x:v>
      </x:c>
      <x:c r="O20" s="37" t="n">
        <x:f>SUMIFS('Supplemental_Movements'!$E$2:$E$361,'Supplemental_Movements'!$A$2:$A$361,O$3,'Supplemental_Movements'!$C$2:$C$361,"ASSET_SALE_PROCEEDS")</x:f>
        <x:v>0</x:v>
      </x:c>
      <x:c r="P20" s="37" t="n">
        <x:f>SUMIFS('Supplemental_Movements'!$E$2:$E$361,'Supplemental_Movements'!$A$2:$A$361,P$3,'Supplemental_Movements'!$C$2:$C$361,"ASSET_SALE_PROCEEDS")</x:f>
        <x:v>0</x:v>
      </x:c>
      <x:c r="Q20" s="37" t="n">
        <x:f>SUMIFS('Supplemental_Movements'!$E$2:$E$361,'Supplemental_Movements'!$A$2:$A$361,Q$3,'Supplemental_Movements'!$C$2:$C$361,"ASSET_SALE_PROCEEDS")</x:f>
        <x:v>0</x:v>
      </x:c>
      <x:c r="R20" s="37" t="n">
        <x:f>SUMIFS('Supplemental_Movements'!$E$2:$E$361,'Supplemental_Movements'!$A$2:$A$361,R$3,'Supplemental_Movements'!$C$2:$C$361,"ASSET_SALE_PROCEEDS")</x:f>
        <x:v>0</x:v>
      </x:c>
      <x:c r="S20" s="37" t="n">
        <x:f>SUMIFS('Supplemental_Movements'!$E$2:$E$361,'Supplemental_Movements'!$A$2:$A$361,S$3,'Supplemental_Movements'!$C$2:$C$361,"ASSET_SALE_PROCEEDS")</x:f>
        <x:v>0</x:v>
      </x:c>
      <x:c r="T20" s="37" t="n">
        <x:f>SUMIFS('Supplemental_Movements'!$E$2:$E$361,'Supplemental_Movements'!$A$2:$A$361,T$3,'Supplemental_Movements'!$C$2:$C$361,"ASSET_SALE_PROCEEDS")</x:f>
        <x:v>0</x:v>
      </x:c>
      <x:c r="U20" s="37" t="n">
        <x:f>SUMIFS('Supplemental_Movements'!$E$2:$E$361,'Supplemental_Movements'!$A$2:$A$361,U$3,'Supplemental_Movements'!$C$2:$C$361,"ASSET_SALE_PROCEEDS")</x:f>
        <x:v>0</x:v>
      </x:c>
      <x:c r="V20" s="37" t="n">
        <x:f>SUMIFS('Supplemental_Movements'!$E$2:$E$361,'Supplemental_Movements'!$A$2:$A$361,V$3,'Supplemental_Movements'!$C$2:$C$361,"ASSET_SALE_PROCEEDS")</x:f>
        <x:v>150000</x:v>
      </x:c>
      <x:c r="W20" s="37" t="n">
        <x:f>SUMIFS('Supplemental_Movements'!$E$2:$E$361,'Supplemental_Movements'!$A$2:$A$361,W$3,'Supplemental_Movements'!$C$2:$C$361,"ASSET_SALE_PROCEEDS")</x:f>
        <x:v>0</x:v>
      </x:c>
      <x:c r="X20" s="37" t="n">
        <x:f>SUMIFS('Supplemental_Movements'!$E$2:$E$361,'Supplemental_Movements'!$A$2:$A$361,X$3,'Supplemental_Movements'!$C$2:$C$361,"ASSET_SALE_PROCEEDS")</x:f>
        <x:v>0</x:v>
      </x:c>
      <x:c r="Y20" s="37" t="n">
        <x:f>SUMIFS('Supplemental_Movements'!$E$2:$E$361,'Supplemental_Movements'!$A$2:$A$361,Y$3,'Supplemental_Movements'!$C$2:$C$361,"ASSET_SALE_PROCEEDS")</x:f>
        <x:v>0</x:v>
      </x:c>
      <x:c r="Z20" s="37" t="n">
        <x:f>SUMIFS('Supplemental_Movements'!$E$2:$E$361,'Supplemental_Movements'!$A$2:$A$361,Z$3,'Supplemental_Movements'!$C$2:$C$361,"ASSET_SALE_PROCEEDS")</x:f>
        <x:v>0</x:v>
      </x:c>
      <x:c r="AA20" s="37" t="n">
        <x:f>SUMIFS('Supplemental_Movements'!$E$2:$E$361,'Supplemental_Movements'!$A$2:$A$361,AA$3,'Supplemental_Movements'!$C$2:$C$361,"ASSET_SALE_PROCEEDS")</x:f>
        <x:v>0</x:v>
      </x:c>
      <x:c r="AB20" s="37" t="n">
        <x:f>SUMIFS('Supplemental_Movements'!$E$2:$E$361,'Supplemental_Movements'!$A$2:$A$361,AB$3,'Supplemental_Movements'!$C$2:$C$361,"ASSET_SALE_PROCEEDS")</x:f>
        <x:v>0</x:v>
      </x:c>
      <x:c r="AC20" s="37" t="n">
        <x:f>SUMIFS('Supplemental_Movements'!$E$2:$E$361,'Supplemental_Movements'!$A$2:$A$361,AC$3,'Supplemental_Movements'!$C$2:$C$361,"ASSET_SALE_PROCEEDS")</x:f>
        <x:v>0</x:v>
      </x:c>
      <x:c r="AD20" s="37" t="n">
        <x:f>SUMIFS('Supplemental_Movements'!$E$2:$E$361,'Supplemental_Movements'!$A$2:$A$361,AD$3,'Supplemental_Movements'!$C$2:$C$361,"ASSET_SALE_PROCEEDS")</x:f>
        <x:v>0</x:v>
      </x:c>
      <x:c r="AE20" s="37" t="n">
        <x:f>SUMIFS('Supplemental_Movements'!$E$2:$E$361,'Supplemental_Movements'!$A$2:$A$361,AE$3,'Supplemental_Movements'!$C$2:$C$361,"ASSET_SALE_PROCEEDS")</x:f>
        <x:v>0</x:v>
      </x:c>
      <x:c r="AF20" s="37" t="n">
        <x:f>SUMIFS('Supplemental_Movements'!$E$2:$E$361,'Supplemental_Movements'!$A$2:$A$361,AF$3,'Supplemental_Movements'!$C$2:$C$361,"ASSET_SALE_PROCEEDS")</x:f>
        <x:v>0</x:v>
      </x:c>
      <x:c r="AG20" s="37" t="n">
        <x:f>SUMIFS('Supplemental_Movements'!$E$2:$E$361,'Supplemental_Movements'!$A$2:$A$361,AG$3,'Supplemental_Movements'!$C$2:$C$361,"ASSET_SALE_PROCEEDS")</x:f>
        <x:v>0</x:v>
      </x:c>
      <x:c r="AH20" s="37" t="n">
        <x:f>SUMIFS('Supplemental_Movements'!$E$2:$E$361,'Supplemental_Movements'!$A$2:$A$361,AH$3,'Supplemental_Movements'!$C$2:$C$361,"ASSET_SALE_PROCEEDS")</x:f>
        <x:v>0</x:v>
      </x:c>
      <x:c r="AI20" s="37" t="n">
        <x:f>SUMIFS('Supplemental_Movements'!$E$2:$E$361,'Supplemental_Movements'!$A$2:$A$361,AI$3,'Supplemental_Movements'!$C$2:$C$361,"ASSET_SALE_PROCEEDS")</x:f>
        <x:v>0</x:v>
      </x:c>
      <x:c r="AJ20" s="37" t="n">
        <x:f>SUMIFS('Supplemental_Movements'!$E$2:$E$361,'Supplemental_Movements'!$A$2:$A$361,AJ$3,'Supplemental_Movements'!$C$2:$C$361,"ASSET_SALE_PROCEEDS")</x:f>
        <x:v>0</x:v>
      </x:c>
      <x:c r="AK20" s="37" t="n">
        <x:f>SUMIFS('Supplemental_Movements'!$E$2:$E$361,'Supplemental_Movements'!$A$2:$A$361,AK$3,'Supplemental_Movements'!$C$2:$C$361,"ASSET_SALE_PROCEEDS")</x:f>
        <x:v>0</x:v>
      </x:c>
    </x:row>
    <x:row r="21">
      <x:c r="A21" s="36" t="str">
        <x:v>Adquisiciones e inversiones</x:v>
      </x:c>
      <x:c r="B21" s="37" t="n">
        <x:f>-SUMIFS('Supplemental_Movements'!$E$2:$E$361,'Supplemental_Movements'!$A$2:$A$361,B$3,'Supplemental_Movements'!$C$2:$C$361,"ACQUISITIONS")</x:f>
        <x:v>0</x:v>
      </x:c>
      <x:c r="C21" s="37" t="n">
        <x:f>-SUMIFS('Supplemental_Movements'!$E$2:$E$361,'Supplemental_Movements'!$A$2:$A$361,C$3,'Supplemental_Movements'!$C$2:$C$361,"ACQUISITIONS")</x:f>
        <x:v>0</x:v>
      </x:c>
      <x:c r="D21" s="37" t="n">
        <x:f>-SUMIFS('Supplemental_Movements'!$E$2:$E$361,'Supplemental_Movements'!$A$2:$A$361,D$3,'Supplemental_Movements'!$C$2:$C$361,"ACQUISITIONS")</x:f>
        <x:v>0</x:v>
      </x:c>
      <x:c r="E21" s="37" t="n">
        <x:f>-SUMIFS('Supplemental_Movements'!$E$2:$E$361,'Supplemental_Movements'!$A$2:$A$361,E$3,'Supplemental_Movements'!$C$2:$C$361,"ACQUISITIONS")</x:f>
        <x:v>0</x:v>
      </x:c>
      <x:c r="F21" s="37" t="n">
        <x:f>-SUMIFS('Supplemental_Movements'!$E$2:$E$361,'Supplemental_Movements'!$A$2:$A$361,F$3,'Supplemental_Movements'!$C$2:$C$361,"ACQUISITIONS")</x:f>
        <x:v>0</x:v>
      </x:c>
      <x:c r="G21" s="37" t="n">
        <x:f>-SUMIFS('Supplemental_Movements'!$E$2:$E$361,'Supplemental_Movements'!$A$2:$A$361,G$3,'Supplemental_Movements'!$C$2:$C$361,"ACQUISITIONS")</x:f>
        <x:v>0</x:v>
      </x:c>
      <x:c r="H21" s="37" t="n">
        <x:f>-SUMIFS('Supplemental_Movements'!$E$2:$E$361,'Supplemental_Movements'!$A$2:$A$361,H$3,'Supplemental_Movements'!$C$2:$C$361,"ACQUISITIONS")</x:f>
        <x:v>0</x:v>
      </x:c>
      <x:c r="I21" s="37" t="n">
        <x:f>-SUMIFS('Supplemental_Movements'!$E$2:$E$361,'Supplemental_Movements'!$A$2:$A$361,I$3,'Supplemental_Movements'!$C$2:$C$361,"ACQUISITIONS")</x:f>
        <x:v>0</x:v>
      </x:c>
      <x:c r="J21" s="37" t="n">
        <x:f>-SUMIFS('Supplemental_Movements'!$E$2:$E$361,'Supplemental_Movements'!$A$2:$A$361,J$3,'Supplemental_Movements'!$C$2:$C$361,"ACQUISITIONS")</x:f>
        <x:v>0</x:v>
      </x:c>
      <x:c r="K21" s="37" t="n">
        <x:f>-SUMIFS('Supplemental_Movements'!$E$2:$E$361,'Supplemental_Movements'!$A$2:$A$361,K$3,'Supplemental_Movements'!$C$2:$C$361,"ACQUISITIONS")</x:f>
        <x:v>0</x:v>
      </x:c>
      <x:c r="L21" s="37" t="n">
        <x:f>-SUMIFS('Supplemental_Movements'!$E$2:$E$361,'Supplemental_Movements'!$A$2:$A$361,L$3,'Supplemental_Movements'!$C$2:$C$361,"ACQUISITIONS")</x:f>
        <x:v>0</x:v>
      </x:c>
      <x:c r="M21" s="37" t="n">
        <x:f>-SUMIFS('Supplemental_Movements'!$E$2:$E$361,'Supplemental_Movements'!$A$2:$A$361,M$3,'Supplemental_Movements'!$C$2:$C$361,"ACQUISITIONS")</x:f>
        <x:v>0</x:v>
      </x:c>
      <x:c r="N21" s="37" t="n">
        <x:f>-SUMIFS('Supplemental_Movements'!$E$2:$E$361,'Supplemental_Movements'!$A$2:$A$361,N$3,'Supplemental_Movements'!$C$2:$C$361,"ACQUISITIONS")</x:f>
        <x:v>0</x:v>
      </x:c>
      <x:c r="O21" s="37" t="n">
        <x:f>-SUMIFS('Supplemental_Movements'!$E$2:$E$361,'Supplemental_Movements'!$A$2:$A$361,O$3,'Supplemental_Movements'!$C$2:$C$361,"ACQUISITIONS")</x:f>
        <x:v>0</x:v>
      </x:c>
      <x:c r="P21" s="37" t="n">
        <x:f>-SUMIFS('Supplemental_Movements'!$E$2:$E$361,'Supplemental_Movements'!$A$2:$A$361,P$3,'Supplemental_Movements'!$C$2:$C$361,"ACQUISITIONS")</x:f>
        <x:v>0</x:v>
      </x:c>
      <x:c r="Q21" s="37" t="n">
        <x:f>-SUMIFS('Supplemental_Movements'!$E$2:$E$361,'Supplemental_Movements'!$A$2:$A$361,Q$3,'Supplemental_Movements'!$C$2:$C$361,"ACQUISITIONS")</x:f>
        <x:v>0</x:v>
      </x:c>
      <x:c r="R21" s="37" t="n">
        <x:f>-SUMIFS('Supplemental_Movements'!$E$2:$E$361,'Supplemental_Movements'!$A$2:$A$361,R$3,'Supplemental_Movements'!$C$2:$C$361,"ACQUISITIONS")</x:f>
        <x:v>0</x:v>
      </x:c>
      <x:c r="S21" s="37" t="n">
        <x:f>-SUMIFS('Supplemental_Movements'!$E$2:$E$361,'Supplemental_Movements'!$A$2:$A$361,S$3,'Supplemental_Movements'!$C$2:$C$361,"ACQUISITIONS")</x:f>
        <x:v>0</x:v>
      </x:c>
      <x:c r="T21" s="37" t="n">
        <x:f>-SUMIFS('Supplemental_Movements'!$E$2:$E$361,'Supplemental_Movements'!$A$2:$A$361,T$3,'Supplemental_Movements'!$C$2:$C$361,"ACQUISITIONS")</x:f>
        <x:v>0</x:v>
      </x:c>
      <x:c r="U21" s="37" t="n">
        <x:f>-SUMIFS('Supplemental_Movements'!$E$2:$E$361,'Supplemental_Movements'!$A$2:$A$361,U$3,'Supplemental_Movements'!$C$2:$C$361,"ACQUISITIONS")</x:f>
        <x:v>0</x:v>
      </x:c>
      <x:c r="V21" s="37" t="n">
        <x:f>-SUMIFS('Supplemental_Movements'!$E$2:$E$361,'Supplemental_Movements'!$A$2:$A$361,V$3,'Supplemental_Movements'!$C$2:$C$361,"ACQUISITIONS")</x:f>
        <x:v>0</x:v>
      </x:c>
      <x:c r="W21" s="37" t="n">
        <x:f>-SUMIFS('Supplemental_Movements'!$E$2:$E$361,'Supplemental_Movements'!$A$2:$A$361,W$3,'Supplemental_Movements'!$C$2:$C$361,"ACQUISITIONS")</x:f>
        <x:v>0</x:v>
      </x:c>
      <x:c r="X21" s="37" t="n">
        <x:f>-SUMIFS('Supplemental_Movements'!$E$2:$E$361,'Supplemental_Movements'!$A$2:$A$361,X$3,'Supplemental_Movements'!$C$2:$C$361,"ACQUISITIONS")</x:f>
        <x:v>0</x:v>
      </x:c>
      <x:c r="Y21" s="37" t="n">
        <x:f>-SUMIFS('Supplemental_Movements'!$E$2:$E$361,'Supplemental_Movements'!$A$2:$A$361,Y$3,'Supplemental_Movements'!$C$2:$C$361,"ACQUISITIONS")</x:f>
        <x:v>0</x:v>
      </x:c>
      <x:c r="Z21" s="37" t="n">
        <x:f>-SUMIFS('Supplemental_Movements'!$E$2:$E$361,'Supplemental_Movements'!$A$2:$A$361,Z$3,'Supplemental_Movements'!$C$2:$C$361,"ACQUISITIONS")</x:f>
        <x:v>0</x:v>
      </x:c>
      <x:c r="AA21" s="37" t="n">
        <x:f>-SUMIFS('Supplemental_Movements'!$E$2:$E$361,'Supplemental_Movements'!$A$2:$A$361,AA$3,'Supplemental_Movements'!$C$2:$C$361,"ACQUISITIONS")</x:f>
        <x:v>0</x:v>
      </x:c>
      <x:c r="AB21" s="37" t="n">
        <x:f>-SUMIFS('Supplemental_Movements'!$E$2:$E$361,'Supplemental_Movements'!$A$2:$A$361,AB$3,'Supplemental_Movements'!$C$2:$C$361,"ACQUISITIONS")</x:f>
        <x:v>0</x:v>
      </x:c>
      <x:c r="AC21" s="37" t="n">
        <x:f>-SUMIFS('Supplemental_Movements'!$E$2:$E$361,'Supplemental_Movements'!$A$2:$A$361,AC$3,'Supplemental_Movements'!$C$2:$C$361,"ACQUISITIONS")</x:f>
        <x:v>0</x:v>
      </x:c>
      <x:c r="AD21" s="37" t="n">
        <x:f>-SUMIFS('Supplemental_Movements'!$E$2:$E$361,'Supplemental_Movements'!$A$2:$A$361,AD$3,'Supplemental_Movements'!$C$2:$C$361,"ACQUISITIONS")</x:f>
        <x:v>0</x:v>
      </x:c>
      <x:c r="AE21" s="37" t="n">
        <x:f>-SUMIFS('Supplemental_Movements'!$E$2:$E$361,'Supplemental_Movements'!$A$2:$A$361,AE$3,'Supplemental_Movements'!$C$2:$C$361,"ACQUISITIONS")</x:f>
        <x:v>0</x:v>
      </x:c>
      <x:c r="AF21" s="37" t="n">
        <x:f>-SUMIFS('Supplemental_Movements'!$E$2:$E$361,'Supplemental_Movements'!$A$2:$A$361,AF$3,'Supplemental_Movements'!$C$2:$C$361,"ACQUISITIONS")</x:f>
        <x:v>0</x:v>
      </x:c>
      <x:c r="AG21" s="37" t="n">
        <x:f>-SUMIFS('Supplemental_Movements'!$E$2:$E$361,'Supplemental_Movements'!$A$2:$A$361,AG$3,'Supplemental_Movements'!$C$2:$C$361,"ACQUISITIONS")</x:f>
        <x:v>0</x:v>
      </x:c>
      <x:c r="AH21" s="37" t="n">
        <x:f>-SUMIFS('Supplemental_Movements'!$E$2:$E$361,'Supplemental_Movements'!$A$2:$A$361,AH$3,'Supplemental_Movements'!$C$2:$C$361,"ACQUISITIONS")</x:f>
        <x:v>0</x:v>
      </x:c>
      <x:c r="AI21" s="37" t="n">
        <x:f>-SUMIFS('Supplemental_Movements'!$E$2:$E$361,'Supplemental_Movements'!$A$2:$A$361,AI$3,'Supplemental_Movements'!$C$2:$C$361,"ACQUISITIONS")</x:f>
        <x:v>0</x:v>
      </x:c>
      <x:c r="AJ21" s="37" t="n">
        <x:f>-SUMIFS('Supplemental_Movements'!$E$2:$E$361,'Supplemental_Movements'!$A$2:$A$361,AJ$3,'Supplemental_Movements'!$C$2:$C$361,"ACQUISITIONS")</x:f>
        <x:v>0</x:v>
      </x:c>
      <x:c r="AK21" s="37" t="n">
        <x:f>-SUMIFS('Supplemental_Movements'!$E$2:$E$361,'Supplemental_Movements'!$A$2:$A$361,AK$3,'Supplemental_Movements'!$C$2:$C$361,"ACQUISITIONS")</x:f>
        <x:v>0</x:v>
      </x:c>
    </x:row>
    <x:row r="22">
      <x:c r="A22" s="38" t="str">
        <x:v>FLUJO DE CAJA DE INVERSIÓN (CFI)</x:v>
      </x:c>
      <x:c r="B22" s="39" t="n">
        <x:f>SUM(B18:B21)</x:f>
        <x:v>-155000</x:v>
      </x:c>
      <x:c r="C22" s="39" t="n">
        <x:f>SUM(C18:C21)</x:f>
        <x:v>-163180</x:v>
      </x:c>
      <x:c r="D22" s="39" t="n">
        <x:f>SUM(D18:D21)</x:f>
        <x:v>-200459</x:v>
      </x:c>
      <x:c r="E22" s="39" t="n">
        <x:f>SUM(E18:E21)</x:f>
        <x:v>-176037</x:v>
      </x:c>
      <x:c r="F22" s="39" t="n">
        <x:f>SUM(F18:F21)</x:f>
        <x:v>-179298</x:v>
      </x:c>
      <x:c r="G22" s="39" t="n">
        <x:f>SUM(G18:G21)</x:f>
        <x:v>-209885</x:v>
      </x:c>
      <x:c r="H22" s="39" t="n">
        <x:f>SUM(H18:H21)</x:f>
        <x:v>-177732</x:v>
      </x:c>
      <x:c r="I22" s="39" t="n">
        <x:f>SUM(I18:I21)</x:f>
        <x:v>-173077</x:v>
      </x:c>
      <x:c r="J22" s="39" t="n">
        <x:f>SUM(J18:J21)</x:f>
        <x:v>-196432</x:v>
      </x:c>
      <x:c r="K22" s="39" t="n">
        <x:f>SUM(K18:K21)</x:f>
        <x:v>-158528</x:v>
      </x:c>
      <x:c r="L22" s="39" t="n">
        <x:f>SUM(L18:L21)</x:f>
        <x:v>-150236</x:v>
      </x:c>
      <x:c r="M22" s="39" t="n">
        <x:f>SUM(M18:M21)</x:f>
        <x:v>-172468</x:v>
      </x:c>
      <x:c r="N22" s="39" t="n">
        <x:f>SUM(N18:N21)</x:f>
        <x:v>-136080</x:v>
      </x:c>
      <x:c r="O22" s="39" t="n">
        <x:f>SUM(O18:O21)</x:f>
        <x:v>-131775</x:v>
      </x:c>
      <x:c r="P22" s="39" t="n">
        <x:f>SUM(P18:P21)</x:f>
        <x:v>-160026</x:v>
      </x:c>
      <x:c r="Q22" s="39" t="n">
        <x:f>SUM(Q18:Q21)</x:f>
        <x:v>-131027</x:v>
      </x:c>
      <x:c r="R22" s="39" t="n">
        <x:f>SUM(R18:R21)</x:f>
        <x:v>-134667</x:v>
      </x:c>
      <x:c r="S22" s="39" t="n">
        <x:f>SUM(S18:S21)</x:f>
        <x:v>-170545</x:v>
      </x:c>
      <x:c r="T22" s="39" t="n">
        <x:f>SUM(T18:T21)</x:f>
        <x:v>-148015</x:v>
      </x:c>
      <x:c r="U22" s="39" t="n">
        <x:f>SUM(U18:U21)</x:f>
        <x:v>-156253</x:v>
      </x:c>
      <x:c r="V22" s="39" t="n">
        <x:f>SUM(V18:V21)</x:f>
        <x:v>-44354</x:v>
      </x:c>
      <x:c r="W22" s="39" t="n">
        <x:f>SUM(W18:W21)</x:f>
        <x:v>-171425</x:v>
      </x:c>
      <x:c r="X22" s="39" t="n">
        <x:f>SUM(X18:X21)</x:f>
        <x:v>-176687</x:v>
      </x:c>
      <x:c r="Y22" s="39" t="n">
        <x:f>SUM(Y18:Y21)</x:f>
        <x:v>-209563</x:v>
      </x:c>
      <x:c r="Z22" s="39" t="n">
        <x:f>SUM(Z18:Z21)</x:f>
        <x:v>-179734</x:v>
      </x:c>
      <x:c r="AA22" s="39" t="n">
        <x:f>SUM(AA18:AA21)</x:f>
        <x:v>-177182</x:v>
      </x:c>
      <x:c r="AB22" s="39" t="n">
        <x:f>SUM(AB18:AB21)</x:f>
        <x:v>-202189</x:v>
      </x:c>
      <x:c r="AC22" s="39" t="n">
        <x:f>SUM(AC18:AC21)</x:f>
        <x:v>-165303</x:v>
      </x:c>
      <x:c r="AD22" s="39" t="n">
        <x:f>SUM(AD18:AD21)</x:f>
        <x:v>-157283</x:v>
      </x:c>
      <x:c r="AE22" s="39" t="n">
        <x:f>SUM(AE18:AE21)</x:f>
        <x:v>-179012</x:v>
      </x:c>
      <x:c r="AF22" s="39" t="n">
        <x:f>SUM(AF18:AF21)</x:f>
        <x:v>-141399</x:v>
      </x:c>
      <x:c r="AG22" s="39" t="n">
        <x:f>SUM(AG18:AG21)</x:f>
        <x:v>-135285</x:v>
      </x:c>
      <x:c r="AH22" s="39" t="n">
        <x:f>SUM(AH18:AH21)</x:f>
        <x:v>-681340</x:v>
      </x:c>
      <x:c r="AI22" s="39" t="n">
        <x:f>SUM(AI18:AI21)</x:f>
        <x:v>-130000</x:v>
      </x:c>
      <x:c r="AJ22" s="39" t="n">
        <x:f>SUM(AJ18:AJ21)</x:f>
        <x:v>-131413</x:v>
      </x:c>
      <x:c r="AK22" s="39" t="n">
        <x:f>SUM(AK18:AK21)</x:f>
        <x:v>-165421</x:v>
      </x:c>
    </x:row>
    <x:row r="23">
      <x:c r="A23" s="35" t="str">
        <x:v>FLUJO DE ACTIVIDADES DE FINANCIACIÓN</x:v>
      </x:c>
      <x:c r="B23" s="41"/>
      <x:c r="C23" s="41"/>
      <x:c r="D23" s="41"/>
      <x:c r="E23" s="41"/>
      <x:c r="F23" s="41"/>
      <x:c r="G23" s="41"/>
      <x:c r="H23" s="41"/>
      <x:c r="I23" s="41"/>
      <x:c r="J23" s="41"/>
      <x:c r="K23" s="41"/>
      <x:c r="L23" s="41"/>
      <x:c r="M23" s="41"/>
      <x:c r="N23" s="41"/>
      <x:c r="O23" s="41"/>
      <x:c r="P23" s="41"/>
      <x:c r="Q23" s="41"/>
      <x:c r="R23" s="41"/>
      <x:c r="S23" s="41"/>
      <x:c r="T23" s="41"/>
      <x:c r="U23" s="41"/>
      <x:c r="V23" s="41"/>
      <x:c r="W23" s="41"/>
      <x:c r="X23" s="41"/>
      <x:c r="Y23" s="41"/>
      <x:c r="Z23" s="41"/>
      <x:c r="AA23" s="41"/>
      <x:c r="AB23" s="41"/>
      <x:c r="AC23" s="41"/>
      <x:c r="AD23" s="41"/>
      <x:c r="AE23" s="41"/>
      <x:c r="AF23" s="41"/>
      <x:c r="AG23" s="41"/>
      <x:c r="AH23" s="41"/>
      <x:c r="AI23" s="41"/>
      <x:c r="AJ23" s="41"/>
      <x:c r="AK23" s="41"/>
    </x:row>
    <x:row r="24">
      <x:c r="A24" s="36" t="str">
        <x:v>Disposiciones de deuda</x:v>
      </x:c>
      <x:c r="B24" s="37" t="n">
        <x:f>SUMIFS('Supplemental_Movements'!$E$2:$E$361,'Supplemental_Movements'!$A$2:$A$361,B$3,'Supplemental_Movements'!$C$2:$C$361,"DEBT_DRAWDOWNS")</x:f>
        <x:v>0</x:v>
      </x:c>
      <x:c r="C24" s="37" t="n">
        <x:f>SUMIFS('Supplemental_Movements'!$E$2:$E$361,'Supplemental_Movements'!$A$2:$A$361,C$3,'Supplemental_Movements'!$C$2:$C$361,"DEBT_DRAWDOWNS")</x:f>
        <x:v>0</x:v>
      </x:c>
      <x:c r="D24" s="37" t="n">
        <x:f>SUMIFS('Supplemental_Movements'!$E$2:$E$361,'Supplemental_Movements'!$A$2:$A$361,D$3,'Supplemental_Movements'!$C$2:$C$361,"DEBT_DRAWDOWNS")</x:f>
        <x:v>0</x:v>
      </x:c>
      <x:c r="E24" s="37" t="n">
        <x:f>SUMIFS('Supplemental_Movements'!$E$2:$E$361,'Supplemental_Movements'!$A$2:$A$361,E$3,'Supplemental_Movements'!$C$2:$C$361,"DEBT_DRAWDOWNS")</x:f>
        <x:v>0</x:v>
      </x:c>
      <x:c r="F24" s="37" t="n">
        <x:f>SUMIFS('Supplemental_Movements'!$E$2:$E$361,'Supplemental_Movements'!$A$2:$A$361,F$3,'Supplemental_Movements'!$C$2:$C$361,"DEBT_DRAWDOWNS")</x:f>
        <x:v>0</x:v>
      </x:c>
      <x:c r="G24" s="37" t="n">
        <x:f>SUMIFS('Supplemental_Movements'!$E$2:$E$361,'Supplemental_Movements'!$A$2:$A$361,G$3,'Supplemental_Movements'!$C$2:$C$361,"DEBT_DRAWDOWNS")</x:f>
        <x:v>0</x:v>
      </x:c>
      <x:c r="H24" s="37" t="n">
        <x:f>SUMIFS('Supplemental_Movements'!$E$2:$E$361,'Supplemental_Movements'!$A$2:$A$361,H$3,'Supplemental_Movements'!$C$2:$C$361,"DEBT_DRAWDOWNS")</x:f>
        <x:v>0</x:v>
      </x:c>
      <x:c r="I24" s="37" t="n">
        <x:f>SUMIFS('Supplemental_Movements'!$E$2:$E$361,'Supplemental_Movements'!$A$2:$A$361,I$3,'Supplemental_Movements'!$C$2:$C$361,"DEBT_DRAWDOWNS")</x:f>
        <x:v>0</x:v>
      </x:c>
      <x:c r="J24" s="37" t="n">
        <x:f>SUMIFS('Supplemental_Movements'!$E$2:$E$361,'Supplemental_Movements'!$A$2:$A$361,J$3,'Supplemental_Movements'!$C$2:$C$361,"DEBT_DRAWDOWNS")</x:f>
        <x:v>0</x:v>
      </x:c>
      <x:c r="K24" s="37" t="n">
        <x:f>SUMIFS('Supplemental_Movements'!$E$2:$E$361,'Supplemental_Movements'!$A$2:$A$361,K$3,'Supplemental_Movements'!$C$2:$C$361,"DEBT_DRAWDOWNS")</x:f>
        <x:v>0</x:v>
      </x:c>
      <x:c r="L24" s="37" t="n">
        <x:f>SUMIFS('Supplemental_Movements'!$E$2:$E$361,'Supplemental_Movements'!$A$2:$A$361,L$3,'Supplemental_Movements'!$C$2:$C$361,"DEBT_DRAWDOWNS")</x:f>
        <x:v>0</x:v>
      </x:c>
      <x:c r="M24" s="37" t="n">
        <x:f>SUMIFS('Supplemental_Movements'!$E$2:$E$361,'Supplemental_Movements'!$A$2:$A$361,M$3,'Supplemental_Movements'!$C$2:$C$361,"DEBT_DRAWDOWNS")</x:f>
        <x:v>0</x:v>
      </x:c>
      <x:c r="N24" s="37" t="n">
        <x:f>SUMIFS('Supplemental_Movements'!$E$2:$E$361,'Supplemental_Movements'!$A$2:$A$361,N$3,'Supplemental_Movements'!$C$2:$C$361,"DEBT_DRAWDOWNS")</x:f>
        <x:v>0</x:v>
      </x:c>
      <x:c r="O24" s="37" t="n">
        <x:f>SUMIFS('Supplemental_Movements'!$E$2:$E$361,'Supplemental_Movements'!$A$2:$A$361,O$3,'Supplemental_Movements'!$C$2:$C$361,"DEBT_DRAWDOWNS")</x:f>
        <x:v>0</x:v>
      </x:c>
      <x:c r="P24" s="37" t="n">
        <x:f>SUMIFS('Supplemental_Movements'!$E$2:$E$361,'Supplemental_Movements'!$A$2:$A$361,P$3,'Supplemental_Movements'!$C$2:$C$361,"DEBT_DRAWDOWNS")</x:f>
        <x:v>0</x:v>
      </x:c>
      <x:c r="Q24" s="37" t="n">
        <x:f>SUMIFS('Supplemental_Movements'!$E$2:$E$361,'Supplemental_Movements'!$A$2:$A$361,Q$3,'Supplemental_Movements'!$C$2:$C$361,"DEBT_DRAWDOWNS")</x:f>
        <x:v>0</x:v>
      </x:c>
      <x:c r="R24" s="37" t="n">
        <x:f>SUMIFS('Supplemental_Movements'!$E$2:$E$361,'Supplemental_Movements'!$A$2:$A$361,R$3,'Supplemental_Movements'!$C$2:$C$361,"DEBT_DRAWDOWNS")</x:f>
        <x:v>1100000</x:v>
      </x:c>
      <x:c r="S24" s="37" t="n">
        <x:f>SUMIFS('Supplemental_Movements'!$E$2:$E$361,'Supplemental_Movements'!$A$2:$A$361,S$3,'Supplemental_Movements'!$C$2:$C$361,"DEBT_DRAWDOWNS")</x:f>
        <x:v>0</x:v>
      </x:c>
      <x:c r="T24" s="37" t="n">
        <x:f>SUMIFS('Supplemental_Movements'!$E$2:$E$361,'Supplemental_Movements'!$A$2:$A$361,T$3,'Supplemental_Movements'!$C$2:$C$361,"DEBT_DRAWDOWNS")</x:f>
        <x:v>0</x:v>
      </x:c>
      <x:c r="U24" s="37" t="n">
        <x:f>SUMIFS('Supplemental_Movements'!$E$2:$E$361,'Supplemental_Movements'!$A$2:$A$361,U$3,'Supplemental_Movements'!$C$2:$C$361,"DEBT_DRAWDOWNS")</x:f>
        <x:v>0</x:v>
      </x:c>
      <x:c r="V24" s="37" t="n">
        <x:f>SUMIFS('Supplemental_Movements'!$E$2:$E$361,'Supplemental_Movements'!$A$2:$A$361,V$3,'Supplemental_Movements'!$C$2:$C$361,"DEBT_DRAWDOWNS")</x:f>
        <x:v>0</x:v>
      </x:c>
      <x:c r="W24" s="37" t="n">
        <x:f>SUMIFS('Supplemental_Movements'!$E$2:$E$361,'Supplemental_Movements'!$A$2:$A$361,W$3,'Supplemental_Movements'!$C$2:$C$361,"DEBT_DRAWDOWNS")</x:f>
        <x:v>0</x:v>
      </x:c>
      <x:c r="X24" s="37" t="n">
        <x:f>SUMIFS('Supplemental_Movements'!$E$2:$E$361,'Supplemental_Movements'!$A$2:$A$361,X$3,'Supplemental_Movements'!$C$2:$C$361,"DEBT_DRAWDOWNS")</x:f>
        <x:v>0</x:v>
      </x:c>
      <x:c r="Y24" s="37" t="n">
        <x:f>SUMIFS('Supplemental_Movements'!$E$2:$E$361,'Supplemental_Movements'!$A$2:$A$361,Y$3,'Supplemental_Movements'!$C$2:$C$361,"DEBT_DRAWDOWNS")</x:f>
        <x:v>0</x:v>
      </x:c>
      <x:c r="Z24" s="37" t="n">
        <x:f>SUMIFS('Supplemental_Movements'!$E$2:$E$361,'Supplemental_Movements'!$A$2:$A$361,Z$3,'Supplemental_Movements'!$C$2:$C$361,"DEBT_DRAWDOWNS")</x:f>
        <x:v>0</x:v>
      </x:c>
      <x:c r="AA24" s="37" t="n">
        <x:f>SUMIFS('Supplemental_Movements'!$E$2:$E$361,'Supplemental_Movements'!$A$2:$A$361,AA$3,'Supplemental_Movements'!$C$2:$C$361,"DEBT_DRAWDOWNS")</x:f>
        <x:v>0</x:v>
      </x:c>
      <x:c r="AB24" s="37" t="n">
        <x:f>SUMIFS('Supplemental_Movements'!$E$2:$E$361,'Supplemental_Movements'!$A$2:$A$361,AB$3,'Supplemental_Movements'!$C$2:$C$361,"DEBT_DRAWDOWNS")</x:f>
        <x:v>0</x:v>
      </x:c>
      <x:c r="AC24" s="37" t="n">
        <x:f>SUMIFS('Supplemental_Movements'!$E$2:$E$361,'Supplemental_Movements'!$A$2:$A$361,AC$3,'Supplemental_Movements'!$C$2:$C$361,"DEBT_DRAWDOWNS")</x:f>
        <x:v>0</x:v>
      </x:c>
      <x:c r="AD24" s="37" t="n">
        <x:f>SUMIFS('Supplemental_Movements'!$E$2:$E$361,'Supplemental_Movements'!$A$2:$A$361,AD$3,'Supplemental_Movements'!$C$2:$C$361,"DEBT_DRAWDOWNS")</x:f>
        <x:v>0</x:v>
      </x:c>
      <x:c r="AE24" s="37" t="n">
        <x:f>SUMIFS('Supplemental_Movements'!$E$2:$E$361,'Supplemental_Movements'!$A$2:$A$361,AE$3,'Supplemental_Movements'!$C$2:$C$361,"DEBT_DRAWDOWNS")</x:f>
        <x:v>0</x:v>
      </x:c>
      <x:c r="AF24" s="37" t="n">
        <x:f>SUMIFS('Supplemental_Movements'!$E$2:$E$361,'Supplemental_Movements'!$A$2:$A$361,AF$3,'Supplemental_Movements'!$C$2:$C$361,"DEBT_DRAWDOWNS")</x:f>
        <x:v>0</x:v>
      </x:c>
      <x:c r="AG24" s="37" t="n">
        <x:f>SUMIFS('Supplemental_Movements'!$E$2:$E$361,'Supplemental_Movements'!$A$2:$A$361,AG$3,'Supplemental_Movements'!$C$2:$C$361,"DEBT_DRAWDOWNS")</x:f>
        <x:v>0</x:v>
      </x:c>
      <x:c r="AH24" s="37" t="n">
        <x:f>SUMIFS('Supplemental_Movements'!$E$2:$E$361,'Supplemental_Movements'!$A$2:$A$361,AH$3,'Supplemental_Movements'!$C$2:$C$361,"DEBT_DRAWDOWNS")</x:f>
        <x:v>0</x:v>
      </x:c>
      <x:c r="AI24" s="37" t="n">
        <x:f>SUMIFS('Supplemental_Movements'!$E$2:$E$361,'Supplemental_Movements'!$A$2:$A$361,AI$3,'Supplemental_Movements'!$C$2:$C$361,"DEBT_DRAWDOWNS")</x:f>
        <x:v>0</x:v>
      </x:c>
      <x:c r="AJ24" s="37" t="n">
        <x:f>SUMIFS('Supplemental_Movements'!$E$2:$E$361,'Supplemental_Movements'!$A$2:$A$361,AJ$3,'Supplemental_Movements'!$C$2:$C$361,"DEBT_DRAWDOWNS")</x:f>
        <x:v>0</x:v>
      </x:c>
      <x:c r="AK24" s="37" t="n">
        <x:f>SUMIFS('Supplemental_Movements'!$E$2:$E$361,'Supplemental_Movements'!$A$2:$A$361,AK$3,'Supplemental_Movements'!$C$2:$C$361,"DEBT_DRAWDOWNS")</x:f>
        <x:v>0</x:v>
      </x:c>
    </x:row>
    <x:row r="25">
      <x:c r="A25" s="36" t="str">
        <x:v>Amortizaciones de deuda</x:v>
      </x:c>
      <x:c r="B25" s="37" t="n">
        <x:f>-SUMIFS('Supplemental_Movements'!$E$2:$E$361,'Supplemental_Movements'!$A$2:$A$361,B$3,'Supplemental_Movements'!$C$2:$C$361,"DEBT_REPAYMENTS")</x:f>
        <x:v>0</x:v>
      </x:c>
      <x:c r="C25" s="37" t="n">
        <x:f>-SUMIFS('Supplemental_Movements'!$E$2:$E$361,'Supplemental_Movements'!$A$2:$A$361,C$3,'Supplemental_Movements'!$C$2:$C$361,"DEBT_REPAYMENTS")</x:f>
        <x:v>0</x:v>
      </x:c>
      <x:c r="D25" s="37" t="n">
        <x:f>-SUMIFS('Supplemental_Movements'!$E$2:$E$361,'Supplemental_Movements'!$A$2:$A$361,D$3,'Supplemental_Movements'!$C$2:$C$361,"DEBT_REPAYMENTS")</x:f>
        <x:v>-125000</x:v>
      </x:c>
      <x:c r="E25" s="37" t="n">
        <x:f>-SUMIFS('Supplemental_Movements'!$E$2:$E$361,'Supplemental_Movements'!$A$2:$A$361,E$3,'Supplemental_Movements'!$C$2:$C$361,"DEBT_REPAYMENTS")</x:f>
        <x:v>0</x:v>
      </x:c>
      <x:c r="F25" s="37" t="n">
        <x:f>-SUMIFS('Supplemental_Movements'!$E$2:$E$361,'Supplemental_Movements'!$A$2:$A$361,F$3,'Supplemental_Movements'!$C$2:$C$361,"DEBT_REPAYMENTS")</x:f>
        <x:v>0</x:v>
      </x:c>
      <x:c r="G25" s="37" t="n">
        <x:f>-SUMIFS('Supplemental_Movements'!$E$2:$E$361,'Supplemental_Movements'!$A$2:$A$361,G$3,'Supplemental_Movements'!$C$2:$C$361,"DEBT_REPAYMENTS")</x:f>
        <x:v>-125000</x:v>
      </x:c>
      <x:c r="H25" s="37" t="n">
        <x:f>-SUMIFS('Supplemental_Movements'!$E$2:$E$361,'Supplemental_Movements'!$A$2:$A$361,H$3,'Supplemental_Movements'!$C$2:$C$361,"DEBT_REPAYMENTS")</x:f>
        <x:v>0</x:v>
      </x:c>
      <x:c r="I25" s="37" t="n">
        <x:f>-SUMIFS('Supplemental_Movements'!$E$2:$E$361,'Supplemental_Movements'!$A$2:$A$361,I$3,'Supplemental_Movements'!$C$2:$C$361,"DEBT_REPAYMENTS")</x:f>
        <x:v>0</x:v>
      </x:c>
      <x:c r="J25" s="37" t="n">
        <x:f>-SUMIFS('Supplemental_Movements'!$E$2:$E$361,'Supplemental_Movements'!$A$2:$A$361,J$3,'Supplemental_Movements'!$C$2:$C$361,"DEBT_REPAYMENTS")</x:f>
        <x:v>-125000</x:v>
      </x:c>
      <x:c r="K25" s="37" t="n">
        <x:f>-SUMIFS('Supplemental_Movements'!$E$2:$E$361,'Supplemental_Movements'!$A$2:$A$361,K$3,'Supplemental_Movements'!$C$2:$C$361,"DEBT_REPAYMENTS")</x:f>
        <x:v>0</x:v>
      </x:c>
      <x:c r="L25" s="37" t="n">
        <x:f>-SUMIFS('Supplemental_Movements'!$E$2:$E$361,'Supplemental_Movements'!$A$2:$A$361,L$3,'Supplemental_Movements'!$C$2:$C$361,"DEBT_REPAYMENTS")</x:f>
        <x:v>0</x:v>
      </x:c>
      <x:c r="M25" s="37" t="n">
        <x:f>-SUMIFS('Supplemental_Movements'!$E$2:$E$361,'Supplemental_Movements'!$A$2:$A$361,M$3,'Supplemental_Movements'!$C$2:$C$361,"DEBT_REPAYMENTS")</x:f>
        <x:v>-125000</x:v>
      </x:c>
      <x:c r="N25" s="37" t="n">
        <x:f>-SUMIFS('Supplemental_Movements'!$E$2:$E$361,'Supplemental_Movements'!$A$2:$A$361,N$3,'Supplemental_Movements'!$C$2:$C$361,"DEBT_REPAYMENTS")</x:f>
        <x:v>0</x:v>
      </x:c>
      <x:c r="O25" s="37" t="n">
        <x:f>-SUMIFS('Supplemental_Movements'!$E$2:$E$361,'Supplemental_Movements'!$A$2:$A$361,O$3,'Supplemental_Movements'!$C$2:$C$361,"DEBT_REPAYMENTS")</x:f>
        <x:v>0</x:v>
      </x:c>
      <x:c r="P25" s="37" t="n">
        <x:f>-SUMIFS('Supplemental_Movements'!$E$2:$E$361,'Supplemental_Movements'!$A$2:$A$361,P$3,'Supplemental_Movements'!$C$2:$C$361,"DEBT_REPAYMENTS")</x:f>
        <x:v>-125000</x:v>
      </x:c>
      <x:c r="Q25" s="37" t="n">
        <x:f>-SUMIFS('Supplemental_Movements'!$E$2:$E$361,'Supplemental_Movements'!$A$2:$A$361,Q$3,'Supplemental_Movements'!$C$2:$C$361,"DEBT_REPAYMENTS")</x:f>
        <x:v>0</x:v>
      </x:c>
      <x:c r="R25" s="37" t="n">
        <x:f>-SUMIFS('Supplemental_Movements'!$E$2:$E$361,'Supplemental_Movements'!$A$2:$A$361,R$3,'Supplemental_Movements'!$C$2:$C$361,"DEBT_REPAYMENTS")</x:f>
        <x:v>0</x:v>
      </x:c>
      <x:c r="S25" s="37" t="n">
        <x:f>-SUMIFS('Supplemental_Movements'!$E$2:$E$361,'Supplemental_Movements'!$A$2:$A$361,S$3,'Supplemental_Movements'!$C$2:$C$361,"DEBT_REPAYMENTS")</x:f>
        <x:v>-125000</x:v>
      </x:c>
      <x:c r="T25" s="37" t="n">
        <x:f>-SUMIFS('Supplemental_Movements'!$E$2:$E$361,'Supplemental_Movements'!$A$2:$A$361,T$3,'Supplemental_Movements'!$C$2:$C$361,"DEBT_REPAYMENTS")</x:f>
        <x:v>0</x:v>
      </x:c>
      <x:c r="U25" s="37" t="n">
        <x:f>-SUMIFS('Supplemental_Movements'!$E$2:$E$361,'Supplemental_Movements'!$A$2:$A$361,U$3,'Supplemental_Movements'!$C$2:$C$361,"DEBT_REPAYMENTS")</x:f>
        <x:v>0</x:v>
      </x:c>
      <x:c r="V25" s="37" t="n">
        <x:f>-SUMIFS('Supplemental_Movements'!$E$2:$E$361,'Supplemental_Movements'!$A$2:$A$361,V$3,'Supplemental_Movements'!$C$2:$C$361,"DEBT_REPAYMENTS")</x:f>
        <x:v>-125000</x:v>
      </x:c>
      <x:c r="W25" s="37" t="n">
        <x:f>-SUMIFS('Supplemental_Movements'!$E$2:$E$361,'Supplemental_Movements'!$A$2:$A$361,W$3,'Supplemental_Movements'!$C$2:$C$361,"DEBT_REPAYMENTS")</x:f>
        <x:v>0</x:v>
      </x:c>
      <x:c r="X25" s="37" t="n">
        <x:f>-SUMIFS('Supplemental_Movements'!$E$2:$E$361,'Supplemental_Movements'!$A$2:$A$361,X$3,'Supplemental_Movements'!$C$2:$C$361,"DEBT_REPAYMENTS")</x:f>
        <x:v>0</x:v>
      </x:c>
      <x:c r="Y25" s="37" t="n">
        <x:f>-SUMIFS('Supplemental_Movements'!$E$2:$E$361,'Supplemental_Movements'!$A$2:$A$361,Y$3,'Supplemental_Movements'!$C$2:$C$361,"DEBT_REPAYMENTS")</x:f>
        <x:v>-125000</x:v>
      </x:c>
      <x:c r="Z25" s="37" t="n">
        <x:f>-SUMIFS('Supplemental_Movements'!$E$2:$E$361,'Supplemental_Movements'!$A$2:$A$361,Z$3,'Supplemental_Movements'!$C$2:$C$361,"DEBT_REPAYMENTS")</x:f>
        <x:v>0</x:v>
      </x:c>
      <x:c r="AA25" s="37" t="n">
        <x:f>-SUMIFS('Supplemental_Movements'!$E$2:$E$361,'Supplemental_Movements'!$A$2:$A$361,AA$3,'Supplemental_Movements'!$C$2:$C$361,"DEBT_REPAYMENTS")</x:f>
        <x:v>0</x:v>
      </x:c>
      <x:c r="AB25" s="37" t="n">
        <x:f>-SUMIFS('Supplemental_Movements'!$E$2:$E$361,'Supplemental_Movements'!$A$2:$A$361,AB$3,'Supplemental_Movements'!$C$2:$C$361,"DEBT_REPAYMENTS")</x:f>
        <x:v>-125000</x:v>
      </x:c>
      <x:c r="AC25" s="37" t="n">
        <x:f>-SUMIFS('Supplemental_Movements'!$E$2:$E$361,'Supplemental_Movements'!$A$2:$A$361,AC$3,'Supplemental_Movements'!$C$2:$C$361,"DEBT_REPAYMENTS")</x:f>
        <x:v>0</x:v>
      </x:c>
      <x:c r="AD25" s="37" t="n">
        <x:f>-SUMIFS('Supplemental_Movements'!$E$2:$E$361,'Supplemental_Movements'!$A$2:$A$361,AD$3,'Supplemental_Movements'!$C$2:$C$361,"DEBT_REPAYMENTS")</x:f>
        <x:v>0</x:v>
      </x:c>
      <x:c r="AE25" s="37" t="n">
        <x:f>-SUMIFS('Supplemental_Movements'!$E$2:$E$361,'Supplemental_Movements'!$A$2:$A$361,AE$3,'Supplemental_Movements'!$C$2:$C$361,"DEBT_REPAYMENTS")</x:f>
        <x:v>-125000</x:v>
      </x:c>
      <x:c r="AF25" s="37" t="n">
        <x:f>-SUMIFS('Supplemental_Movements'!$E$2:$E$361,'Supplemental_Movements'!$A$2:$A$361,AF$3,'Supplemental_Movements'!$C$2:$C$361,"DEBT_REPAYMENTS")</x:f>
        <x:v>0</x:v>
      </x:c>
      <x:c r="AG25" s="37" t="n">
        <x:f>-SUMIFS('Supplemental_Movements'!$E$2:$E$361,'Supplemental_Movements'!$A$2:$A$361,AG$3,'Supplemental_Movements'!$C$2:$C$361,"DEBT_REPAYMENTS")</x:f>
        <x:v>0</x:v>
      </x:c>
      <x:c r="AH25" s="37" t="n">
        <x:f>-SUMIFS('Supplemental_Movements'!$E$2:$E$361,'Supplemental_Movements'!$A$2:$A$361,AH$3,'Supplemental_Movements'!$C$2:$C$361,"DEBT_REPAYMENTS")</x:f>
        <x:v>-125000</x:v>
      </x:c>
      <x:c r="AI25" s="37" t="n">
        <x:f>-SUMIFS('Supplemental_Movements'!$E$2:$E$361,'Supplemental_Movements'!$A$2:$A$361,AI$3,'Supplemental_Movements'!$C$2:$C$361,"DEBT_REPAYMENTS")</x:f>
        <x:v>0</x:v>
      </x:c>
      <x:c r="AJ25" s="37" t="n">
        <x:f>-SUMIFS('Supplemental_Movements'!$E$2:$E$361,'Supplemental_Movements'!$A$2:$A$361,AJ$3,'Supplemental_Movements'!$C$2:$C$361,"DEBT_REPAYMENTS")</x:f>
        <x:v>0</x:v>
      </x:c>
      <x:c r="AK25" s="37" t="n">
        <x:f>-SUMIFS('Supplemental_Movements'!$E$2:$E$361,'Supplemental_Movements'!$A$2:$A$361,AK$3,'Supplemental_Movements'!$C$2:$C$361,"DEBT_REPAYMENTS")</x:f>
        <x:v>-375000</x:v>
      </x:c>
    </x:row>
    <x:row r="26">
      <x:c r="A26" s="36" t="str">
        <x:v>Principal de arrendamientos</x:v>
      </x:c>
      <x:c r="B26" s="37" t="n">
        <x:f>-SUMIFS('Supplemental_Movements'!$E$2:$E$361,'Supplemental_Movements'!$A$2:$A$361,B$3,'Supplemental_Movements'!$C$2:$C$361,"LEASE_PRINCIPAL")</x:f>
        <x:v>-25000</x:v>
      </x:c>
      <x:c r="C26" s="37" t="n">
        <x:f>-SUMIFS('Supplemental_Movements'!$E$2:$E$361,'Supplemental_Movements'!$A$2:$A$361,C$3,'Supplemental_Movements'!$C$2:$C$361,"LEASE_PRINCIPAL")</x:f>
        <x:v>-25000</x:v>
      </x:c>
      <x:c r="D26" s="37" t="n">
        <x:f>-SUMIFS('Supplemental_Movements'!$E$2:$E$361,'Supplemental_Movements'!$A$2:$A$361,D$3,'Supplemental_Movements'!$C$2:$C$361,"LEASE_PRINCIPAL")</x:f>
        <x:v>-25000</x:v>
      </x:c>
      <x:c r="E26" s="37" t="n">
        <x:f>-SUMIFS('Supplemental_Movements'!$E$2:$E$361,'Supplemental_Movements'!$A$2:$A$361,E$3,'Supplemental_Movements'!$C$2:$C$361,"LEASE_PRINCIPAL")</x:f>
        <x:v>-25000</x:v>
      </x:c>
      <x:c r="F26" s="37" t="n">
        <x:f>-SUMIFS('Supplemental_Movements'!$E$2:$E$361,'Supplemental_Movements'!$A$2:$A$361,F$3,'Supplemental_Movements'!$C$2:$C$361,"LEASE_PRINCIPAL")</x:f>
        <x:v>-25000</x:v>
      </x:c>
      <x:c r="G26" s="37" t="n">
        <x:f>-SUMIFS('Supplemental_Movements'!$E$2:$E$361,'Supplemental_Movements'!$A$2:$A$361,G$3,'Supplemental_Movements'!$C$2:$C$361,"LEASE_PRINCIPAL")</x:f>
        <x:v>-25000</x:v>
      </x:c>
      <x:c r="H26" s="37" t="n">
        <x:f>-SUMIFS('Supplemental_Movements'!$E$2:$E$361,'Supplemental_Movements'!$A$2:$A$361,H$3,'Supplemental_Movements'!$C$2:$C$361,"LEASE_PRINCIPAL")</x:f>
        <x:v>-25000</x:v>
      </x:c>
      <x:c r="I26" s="37" t="n">
        <x:f>-SUMIFS('Supplemental_Movements'!$E$2:$E$361,'Supplemental_Movements'!$A$2:$A$361,I$3,'Supplemental_Movements'!$C$2:$C$361,"LEASE_PRINCIPAL")</x:f>
        <x:v>-25000</x:v>
      </x:c>
      <x:c r="J26" s="37" t="n">
        <x:f>-SUMIFS('Supplemental_Movements'!$E$2:$E$361,'Supplemental_Movements'!$A$2:$A$361,J$3,'Supplemental_Movements'!$C$2:$C$361,"LEASE_PRINCIPAL")</x:f>
        <x:v>-25000</x:v>
      </x:c>
      <x:c r="K26" s="37" t="n">
        <x:f>-SUMIFS('Supplemental_Movements'!$E$2:$E$361,'Supplemental_Movements'!$A$2:$A$361,K$3,'Supplemental_Movements'!$C$2:$C$361,"LEASE_PRINCIPAL")</x:f>
        <x:v>-25000</x:v>
      </x:c>
      <x:c r="L26" s="37" t="n">
        <x:f>-SUMIFS('Supplemental_Movements'!$E$2:$E$361,'Supplemental_Movements'!$A$2:$A$361,L$3,'Supplemental_Movements'!$C$2:$C$361,"LEASE_PRINCIPAL")</x:f>
        <x:v>-25000</x:v>
      </x:c>
      <x:c r="M26" s="37" t="n">
        <x:f>-SUMIFS('Supplemental_Movements'!$E$2:$E$361,'Supplemental_Movements'!$A$2:$A$361,M$3,'Supplemental_Movements'!$C$2:$C$361,"LEASE_PRINCIPAL")</x:f>
        <x:v>-25000</x:v>
      </x:c>
      <x:c r="N26" s="37" t="n">
        <x:f>-SUMIFS('Supplemental_Movements'!$E$2:$E$361,'Supplemental_Movements'!$A$2:$A$361,N$3,'Supplemental_Movements'!$C$2:$C$361,"LEASE_PRINCIPAL")</x:f>
        <x:v>-25000</x:v>
      </x:c>
      <x:c r="O26" s="37" t="n">
        <x:f>-SUMIFS('Supplemental_Movements'!$E$2:$E$361,'Supplemental_Movements'!$A$2:$A$361,O$3,'Supplemental_Movements'!$C$2:$C$361,"LEASE_PRINCIPAL")</x:f>
        <x:v>-25000</x:v>
      </x:c>
      <x:c r="P26" s="37" t="n">
        <x:f>-SUMIFS('Supplemental_Movements'!$E$2:$E$361,'Supplemental_Movements'!$A$2:$A$361,P$3,'Supplemental_Movements'!$C$2:$C$361,"LEASE_PRINCIPAL")</x:f>
        <x:v>-25000</x:v>
      </x:c>
      <x:c r="Q26" s="37" t="n">
        <x:f>-SUMIFS('Supplemental_Movements'!$E$2:$E$361,'Supplemental_Movements'!$A$2:$A$361,Q$3,'Supplemental_Movements'!$C$2:$C$361,"LEASE_PRINCIPAL")</x:f>
        <x:v>-25000</x:v>
      </x:c>
      <x:c r="R26" s="37" t="n">
        <x:f>-SUMIFS('Supplemental_Movements'!$E$2:$E$361,'Supplemental_Movements'!$A$2:$A$361,R$3,'Supplemental_Movements'!$C$2:$C$361,"LEASE_PRINCIPAL")</x:f>
        <x:v>-25000</x:v>
      </x:c>
      <x:c r="S26" s="37" t="n">
        <x:f>-SUMIFS('Supplemental_Movements'!$E$2:$E$361,'Supplemental_Movements'!$A$2:$A$361,S$3,'Supplemental_Movements'!$C$2:$C$361,"LEASE_PRINCIPAL")</x:f>
        <x:v>-25000</x:v>
      </x:c>
      <x:c r="T26" s="37" t="n">
        <x:f>-SUMIFS('Supplemental_Movements'!$E$2:$E$361,'Supplemental_Movements'!$A$2:$A$361,T$3,'Supplemental_Movements'!$C$2:$C$361,"LEASE_PRINCIPAL")</x:f>
        <x:v>-25000</x:v>
      </x:c>
      <x:c r="U26" s="37" t="n">
        <x:f>-SUMIFS('Supplemental_Movements'!$E$2:$E$361,'Supplemental_Movements'!$A$2:$A$361,U$3,'Supplemental_Movements'!$C$2:$C$361,"LEASE_PRINCIPAL")</x:f>
        <x:v>-25000</x:v>
      </x:c>
      <x:c r="V26" s="37" t="n">
        <x:f>-SUMIFS('Supplemental_Movements'!$E$2:$E$361,'Supplemental_Movements'!$A$2:$A$361,V$3,'Supplemental_Movements'!$C$2:$C$361,"LEASE_PRINCIPAL")</x:f>
        <x:v>-25000</x:v>
      </x:c>
      <x:c r="W26" s="37" t="n">
        <x:f>-SUMIFS('Supplemental_Movements'!$E$2:$E$361,'Supplemental_Movements'!$A$2:$A$361,W$3,'Supplemental_Movements'!$C$2:$C$361,"LEASE_PRINCIPAL")</x:f>
        <x:v>-25000</x:v>
      </x:c>
      <x:c r="X26" s="37" t="n">
        <x:f>-SUMIFS('Supplemental_Movements'!$E$2:$E$361,'Supplemental_Movements'!$A$2:$A$361,X$3,'Supplemental_Movements'!$C$2:$C$361,"LEASE_PRINCIPAL")</x:f>
        <x:v>-25000</x:v>
      </x:c>
      <x:c r="Y26" s="37" t="n">
        <x:f>-SUMIFS('Supplemental_Movements'!$E$2:$E$361,'Supplemental_Movements'!$A$2:$A$361,Y$3,'Supplemental_Movements'!$C$2:$C$361,"LEASE_PRINCIPAL")</x:f>
        <x:v>-25000</x:v>
      </x:c>
      <x:c r="Z26" s="37" t="n">
        <x:f>-SUMIFS('Supplemental_Movements'!$E$2:$E$361,'Supplemental_Movements'!$A$2:$A$361,Z$3,'Supplemental_Movements'!$C$2:$C$361,"LEASE_PRINCIPAL")</x:f>
        <x:v>-25000</x:v>
      </x:c>
      <x:c r="AA26" s="37" t="n">
        <x:f>-SUMIFS('Supplemental_Movements'!$E$2:$E$361,'Supplemental_Movements'!$A$2:$A$361,AA$3,'Supplemental_Movements'!$C$2:$C$361,"LEASE_PRINCIPAL")</x:f>
        <x:v>-25000</x:v>
      </x:c>
      <x:c r="AB26" s="37" t="n">
        <x:f>-SUMIFS('Supplemental_Movements'!$E$2:$E$361,'Supplemental_Movements'!$A$2:$A$361,AB$3,'Supplemental_Movements'!$C$2:$C$361,"LEASE_PRINCIPAL")</x:f>
        <x:v>-25000</x:v>
      </x:c>
      <x:c r="AC26" s="37" t="n">
        <x:f>-SUMIFS('Supplemental_Movements'!$E$2:$E$361,'Supplemental_Movements'!$A$2:$A$361,AC$3,'Supplemental_Movements'!$C$2:$C$361,"LEASE_PRINCIPAL")</x:f>
        <x:v>-25000</x:v>
      </x:c>
      <x:c r="AD26" s="37" t="n">
        <x:f>-SUMIFS('Supplemental_Movements'!$E$2:$E$361,'Supplemental_Movements'!$A$2:$A$361,AD$3,'Supplemental_Movements'!$C$2:$C$361,"LEASE_PRINCIPAL")</x:f>
        <x:v>-25000</x:v>
      </x:c>
      <x:c r="AE26" s="37" t="n">
        <x:f>-SUMIFS('Supplemental_Movements'!$E$2:$E$361,'Supplemental_Movements'!$A$2:$A$361,AE$3,'Supplemental_Movements'!$C$2:$C$361,"LEASE_PRINCIPAL")</x:f>
        <x:v>-25000</x:v>
      </x:c>
      <x:c r="AF26" s="37" t="n">
        <x:f>-SUMIFS('Supplemental_Movements'!$E$2:$E$361,'Supplemental_Movements'!$A$2:$A$361,AF$3,'Supplemental_Movements'!$C$2:$C$361,"LEASE_PRINCIPAL")</x:f>
        <x:v>-25000</x:v>
      </x:c>
      <x:c r="AG26" s="37" t="n">
        <x:f>-SUMIFS('Supplemental_Movements'!$E$2:$E$361,'Supplemental_Movements'!$A$2:$A$361,AG$3,'Supplemental_Movements'!$C$2:$C$361,"LEASE_PRINCIPAL")</x:f>
        <x:v>-25000</x:v>
      </x:c>
      <x:c r="AH26" s="37" t="n">
        <x:f>-SUMIFS('Supplemental_Movements'!$E$2:$E$361,'Supplemental_Movements'!$A$2:$A$361,AH$3,'Supplemental_Movements'!$C$2:$C$361,"LEASE_PRINCIPAL")</x:f>
        <x:v>-25000</x:v>
      </x:c>
      <x:c r="AI26" s="37" t="n">
        <x:f>-SUMIFS('Supplemental_Movements'!$E$2:$E$361,'Supplemental_Movements'!$A$2:$A$361,AI$3,'Supplemental_Movements'!$C$2:$C$361,"LEASE_PRINCIPAL")</x:f>
        <x:v>-25000</x:v>
      </x:c>
      <x:c r="AJ26" s="37" t="n">
        <x:f>-SUMIFS('Supplemental_Movements'!$E$2:$E$361,'Supplemental_Movements'!$A$2:$A$361,AJ$3,'Supplemental_Movements'!$C$2:$C$361,"LEASE_PRINCIPAL")</x:f>
        <x:v>-25000</x:v>
      </x:c>
      <x:c r="AK26" s="37" t="n">
        <x:f>-SUMIFS('Supplemental_Movements'!$E$2:$E$361,'Supplemental_Movements'!$A$2:$A$361,AK$3,'Supplemental_Movements'!$C$2:$C$361,"LEASE_PRINCIPAL")</x:f>
        <x:v>-25000</x:v>
      </x:c>
    </x:row>
    <x:row r="27">
      <x:c r="A27" s="36" t="str">
        <x:v>Dividendos pagados</x:v>
      </x:c>
      <x:c r="B27" s="37" t="n">
        <x:f>-SUMIFS('Supplemental_Movements'!$E$2:$E$361,'Supplemental_Movements'!$A$2:$A$361,B$3,'Supplemental_Movements'!$C$2:$C$361,"DIVIDENDS")</x:f>
        <x:v>0</x:v>
      </x:c>
      <x:c r="C27" s="37" t="n">
        <x:f>-SUMIFS('Supplemental_Movements'!$E$2:$E$361,'Supplemental_Movements'!$A$2:$A$361,C$3,'Supplemental_Movements'!$C$2:$C$361,"DIVIDENDS")</x:f>
        <x:v>0</x:v>
      </x:c>
      <x:c r="D27" s="37" t="n">
        <x:f>-SUMIFS('Supplemental_Movements'!$E$2:$E$361,'Supplemental_Movements'!$A$2:$A$361,D$3,'Supplemental_Movements'!$C$2:$C$361,"DIVIDENDS")</x:f>
        <x:v>0</x:v>
      </x:c>
      <x:c r="E27" s="37" t="n">
        <x:f>-SUMIFS('Supplemental_Movements'!$E$2:$E$361,'Supplemental_Movements'!$A$2:$A$361,E$3,'Supplemental_Movements'!$C$2:$C$361,"DIVIDENDS")</x:f>
        <x:v>0</x:v>
      </x:c>
      <x:c r="F27" s="37" t="n">
        <x:f>-SUMIFS('Supplemental_Movements'!$E$2:$E$361,'Supplemental_Movements'!$A$2:$A$361,F$3,'Supplemental_Movements'!$C$2:$C$361,"DIVIDENDS")</x:f>
        <x:v>0</x:v>
      </x:c>
      <x:c r="G27" s="37" t="n">
        <x:f>-SUMIFS('Supplemental_Movements'!$E$2:$E$361,'Supplemental_Movements'!$A$2:$A$361,G$3,'Supplemental_Movements'!$C$2:$C$361,"DIVIDENDS")</x:f>
        <x:v>0</x:v>
      </x:c>
      <x:c r="H27" s="37" t="n">
        <x:f>-SUMIFS('Supplemental_Movements'!$E$2:$E$361,'Supplemental_Movements'!$A$2:$A$361,H$3,'Supplemental_Movements'!$C$2:$C$361,"DIVIDENDS")</x:f>
        <x:v>0</x:v>
      </x:c>
      <x:c r="I27" s="37" t="n">
        <x:f>-SUMIFS('Supplemental_Movements'!$E$2:$E$361,'Supplemental_Movements'!$A$2:$A$361,I$3,'Supplemental_Movements'!$C$2:$C$361,"DIVIDENDS")</x:f>
        <x:v>0</x:v>
      </x:c>
      <x:c r="J27" s="37" t="n">
        <x:f>-SUMIFS('Supplemental_Movements'!$E$2:$E$361,'Supplemental_Movements'!$A$2:$A$361,J$3,'Supplemental_Movements'!$C$2:$C$361,"DIVIDENDS")</x:f>
        <x:v>0</x:v>
      </x:c>
      <x:c r="K27" s="37" t="n">
        <x:f>-SUMIFS('Supplemental_Movements'!$E$2:$E$361,'Supplemental_Movements'!$A$2:$A$361,K$3,'Supplemental_Movements'!$C$2:$C$361,"DIVIDENDS")</x:f>
        <x:v>0</x:v>
      </x:c>
      <x:c r="L27" s="37" t="n">
        <x:f>-SUMIFS('Supplemental_Movements'!$E$2:$E$361,'Supplemental_Movements'!$A$2:$A$361,L$3,'Supplemental_Movements'!$C$2:$C$361,"DIVIDENDS")</x:f>
        <x:v>0</x:v>
      </x:c>
      <x:c r="M27" s="37" t="n">
        <x:f>-SUMIFS('Supplemental_Movements'!$E$2:$E$361,'Supplemental_Movements'!$A$2:$A$361,M$3,'Supplemental_Movements'!$C$2:$C$361,"DIVIDENDS")</x:f>
        <x:v>-150000</x:v>
      </x:c>
      <x:c r="N27" s="37" t="n">
        <x:f>-SUMIFS('Supplemental_Movements'!$E$2:$E$361,'Supplemental_Movements'!$A$2:$A$361,N$3,'Supplemental_Movements'!$C$2:$C$361,"DIVIDENDS")</x:f>
        <x:v>0</x:v>
      </x:c>
      <x:c r="O27" s="37" t="n">
        <x:f>-SUMIFS('Supplemental_Movements'!$E$2:$E$361,'Supplemental_Movements'!$A$2:$A$361,O$3,'Supplemental_Movements'!$C$2:$C$361,"DIVIDENDS")</x:f>
        <x:v>0</x:v>
      </x:c>
      <x:c r="P27" s="37" t="n">
        <x:f>-SUMIFS('Supplemental_Movements'!$E$2:$E$361,'Supplemental_Movements'!$A$2:$A$361,P$3,'Supplemental_Movements'!$C$2:$C$361,"DIVIDENDS")</x:f>
        <x:v>0</x:v>
      </x:c>
      <x:c r="Q27" s="37" t="n">
        <x:f>-SUMIFS('Supplemental_Movements'!$E$2:$E$361,'Supplemental_Movements'!$A$2:$A$361,Q$3,'Supplemental_Movements'!$C$2:$C$361,"DIVIDENDS")</x:f>
        <x:v>0</x:v>
      </x:c>
      <x:c r="R27" s="37" t="n">
        <x:f>-SUMIFS('Supplemental_Movements'!$E$2:$E$361,'Supplemental_Movements'!$A$2:$A$361,R$3,'Supplemental_Movements'!$C$2:$C$361,"DIVIDENDS")</x:f>
        <x:v>0</x:v>
      </x:c>
      <x:c r="S27" s="37" t="n">
        <x:f>-SUMIFS('Supplemental_Movements'!$E$2:$E$361,'Supplemental_Movements'!$A$2:$A$361,S$3,'Supplemental_Movements'!$C$2:$C$361,"DIVIDENDS")</x:f>
        <x:v>0</x:v>
      </x:c>
      <x:c r="T27" s="37" t="n">
        <x:f>-SUMIFS('Supplemental_Movements'!$E$2:$E$361,'Supplemental_Movements'!$A$2:$A$361,T$3,'Supplemental_Movements'!$C$2:$C$361,"DIVIDENDS")</x:f>
        <x:v>0</x:v>
      </x:c>
      <x:c r="U27" s="37" t="n">
        <x:f>-SUMIFS('Supplemental_Movements'!$E$2:$E$361,'Supplemental_Movements'!$A$2:$A$361,U$3,'Supplemental_Movements'!$C$2:$C$361,"DIVIDENDS")</x:f>
        <x:v>0</x:v>
      </x:c>
      <x:c r="V27" s="37" t="n">
        <x:f>-SUMIFS('Supplemental_Movements'!$E$2:$E$361,'Supplemental_Movements'!$A$2:$A$361,V$3,'Supplemental_Movements'!$C$2:$C$361,"DIVIDENDS")</x:f>
        <x:v>0</x:v>
      </x:c>
      <x:c r="W27" s="37" t="n">
        <x:f>-SUMIFS('Supplemental_Movements'!$E$2:$E$361,'Supplemental_Movements'!$A$2:$A$361,W$3,'Supplemental_Movements'!$C$2:$C$361,"DIVIDENDS")</x:f>
        <x:v>0</x:v>
      </x:c>
      <x:c r="X27" s="37" t="n">
        <x:f>-SUMIFS('Supplemental_Movements'!$E$2:$E$361,'Supplemental_Movements'!$A$2:$A$361,X$3,'Supplemental_Movements'!$C$2:$C$361,"DIVIDENDS")</x:f>
        <x:v>0</x:v>
      </x:c>
      <x:c r="Y27" s="37" t="n">
        <x:f>-SUMIFS('Supplemental_Movements'!$E$2:$E$361,'Supplemental_Movements'!$A$2:$A$361,Y$3,'Supplemental_Movements'!$C$2:$C$361,"DIVIDENDS")</x:f>
        <x:v>-200000</x:v>
      </x:c>
      <x:c r="Z27" s="37" t="n">
        <x:f>-SUMIFS('Supplemental_Movements'!$E$2:$E$361,'Supplemental_Movements'!$A$2:$A$361,Z$3,'Supplemental_Movements'!$C$2:$C$361,"DIVIDENDS")</x:f>
        <x:v>0</x:v>
      </x:c>
      <x:c r="AA27" s="37" t="n">
        <x:f>-SUMIFS('Supplemental_Movements'!$E$2:$E$361,'Supplemental_Movements'!$A$2:$A$361,AA$3,'Supplemental_Movements'!$C$2:$C$361,"DIVIDENDS")</x:f>
        <x:v>0</x:v>
      </x:c>
      <x:c r="AB27" s="37" t="n">
        <x:f>-SUMIFS('Supplemental_Movements'!$E$2:$E$361,'Supplemental_Movements'!$A$2:$A$361,AB$3,'Supplemental_Movements'!$C$2:$C$361,"DIVIDENDS")</x:f>
        <x:v>0</x:v>
      </x:c>
      <x:c r="AC27" s="37" t="n">
        <x:f>-SUMIFS('Supplemental_Movements'!$E$2:$E$361,'Supplemental_Movements'!$A$2:$A$361,AC$3,'Supplemental_Movements'!$C$2:$C$361,"DIVIDENDS")</x:f>
        <x:v>0</x:v>
      </x:c>
      <x:c r="AD27" s="37" t="n">
        <x:f>-SUMIFS('Supplemental_Movements'!$E$2:$E$361,'Supplemental_Movements'!$A$2:$A$361,AD$3,'Supplemental_Movements'!$C$2:$C$361,"DIVIDENDS")</x:f>
        <x:v>0</x:v>
      </x:c>
      <x:c r="AE27" s="37" t="n">
        <x:f>-SUMIFS('Supplemental_Movements'!$E$2:$E$361,'Supplemental_Movements'!$A$2:$A$361,AE$3,'Supplemental_Movements'!$C$2:$C$361,"DIVIDENDS")</x:f>
        <x:v>0</x:v>
      </x:c>
      <x:c r="AF27" s="37" t="n">
        <x:f>-SUMIFS('Supplemental_Movements'!$E$2:$E$361,'Supplemental_Movements'!$A$2:$A$361,AF$3,'Supplemental_Movements'!$C$2:$C$361,"DIVIDENDS")</x:f>
        <x:v>0</x:v>
      </x:c>
      <x:c r="AG27" s="37" t="n">
        <x:f>-SUMIFS('Supplemental_Movements'!$E$2:$E$361,'Supplemental_Movements'!$A$2:$A$361,AG$3,'Supplemental_Movements'!$C$2:$C$361,"DIVIDENDS")</x:f>
        <x:v>0</x:v>
      </x:c>
      <x:c r="AH27" s="37" t="n">
        <x:f>-SUMIFS('Supplemental_Movements'!$E$2:$E$361,'Supplemental_Movements'!$A$2:$A$361,AH$3,'Supplemental_Movements'!$C$2:$C$361,"DIVIDENDS")</x:f>
        <x:v>0</x:v>
      </x:c>
      <x:c r="AI27" s="37" t="n">
        <x:f>-SUMIFS('Supplemental_Movements'!$E$2:$E$361,'Supplemental_Movements'!$A$2:$A$361,AI$3,'Supplemental_Movements'!$C$2:$C$361,"DIVIDENDS")</x:f>
        <x:v>0</x:v>
      </x:c>
      <x:c r="AJ27" s="37" t="n">
        <x:f>-SUMIFS('Supplemental_Movements'!$E$2:$E$361,'Supplemental_Movements'!$A$2:$A$361,AJ$3,'Supplemental_Movements'!$C$2:$C$361,"DIVIDENDS")</x:f>
        <x:v>0</x:v>
      </x:c>
      <x:c r="AK27" s="37" t="n">
        <x:f>-SUMIFS('Supplemental_Movements'!$E$2:$E$361,'Supplemental_Movements'!$A$2:$A$361,AK$3,'Supplemental_Movements'!$C$2:$C$361,"DIVIDENDS")</x:f>
        <x:v>-250000</x:v>
      </x:c>
    </x:row>
    <x:row r="28">
      <x:c r="A28" s="36" t="str">
        <x:v>Aportaciones de capital</x:v>
      </x:c>
      <x:c r="B28" s="37" t="n">
        <x:f>SUMIFS('Supplemental_Movements'!$E$2:$E$361,'Supplemental_Movements'!$A$2:$A$361,B$3,'Supplemental_Movements'!$C$2:$C$361,"CAPITAL_CONTRIBUTIONS")</x:f>
        <x:v>0</x:v>
      </x:c>
      <x:c r="C28" s="37" t="n">
        <x:f>SUMIFS('Supplemental_Movements'!$E$2:$E$361,'Supplemental_Movements'!$A$2:$A$361,C$3,'Supplemental_Movements'!$C$2:$C$361,"CAPITAL_CONTRIBUTIONS")</x:f>
        <x:v>0</x:v>
      </x:c>
      <x:c r="D28" s="37" t="n">
        <x:f>SUMIFS('Supplemental_Movements'!$E$2:$E$361,'Supplemental_Movements'!$A$2:$A$361,D$3,'Supplemental_Movements'!$C$2:$C$361,"CAPITAL_CONTRIBUTIONS")</x:f>
        <x:v>0</x:v>
      </x:c>
      <x:c r="E28" s="37" t="n">
        <x:f>SUMIFS('Supplemental_Movements'!$E$2:$E$361,'Supplemental_Movements'!$A$2:$A$361,E$3,'Supplemental_Movements'!$C$2:$C$361,"CAPITAL_CONTRIBUTIONS")</x:f>
        <x:v>0</x:v>
      </x:c>
      <x:c r="F28" s="37" t="n">
        <x:f>SUMIFS('Supplemental_Movements'!$E$2:$E$361,'Supplemental_Movements'!$A$2:$A$361,F$3,'Supplemental_Movements'!$C$2:$C$361,"CAPITAL_CONTRIBUTIONS")</x:f>
        <x:v>0</x:v>
      </x:c>
      <x:c r="G28" s="37" t="n">
        <x:f>SUMIFS('Supplemental_Movements'!$E$2:$E$361,'Supplemental_Movements'!$A$2:$A$361,G$3,'Supplemental_Movements'!$C$2:$C$361,"CAPITAL_CONTRIBUTIONS")</x:f>
        <x:v>0</x:v>
      </x:c>
      <x:c r="H28" s="37" t="n">
        <x:f>SUMIFS('Supplemental_Movements'!$E$2:$E$361,'Supplemental_Movements'!$A$2:$A$361,H$3,'Supplemental_Movements'!$C$2:$C$361,"CAPITAL_CONTRIBUTIONS")</x:f>
        <x:v>0</x:v>
      </x:c>
      <x:c r="I28" s="37" t="n">
        <x:f>SUMIFS('Supplemental_Movements'!$E$2:$E$361,'Supplemental_Movements'!$A$2:$A$361,I$3,'Supplemental_Movements'!$C$2:$C$361,"CAPITAL_CONTRIBUTIONS")</x:f>
        <x:v>0</x:v>
      </x:c>
      <x:c r="J28" s="37" t="n">
        <x:f>SUMIFS('Supplemental_Movements'!$E$2:$E$361,'Supplemental_Movements'!$A$2:$A$361,J$3,'Supplemental_Movements'!$C$2:$C$361,"CAPITAL_CONTRIBUTIONS")</x:f>
        <x:v>0</x:v>
      </x:c>
      <x:c r="K28" s="37" t="n">
        <x:f>SUMIFS('Supplemental_Movements'!$E$2:$E$361,'Supplemental_Movements'!$A$2:$A$361,K$3,'Supplemental_Movements'!$C$2:$C$361,"CAPITAL_CONTRIBUTIONS")</x:f>
        <x:v>0</x:v>
      </x:c>
      <x:c r="L28" s="37" t="n">
        <x:f>SUMIFS('Supplemental_Movements'!$E$2:$E$361,'Supplemental_Movements'!$A$2:$A$361,L$3,'Supplemental_Movements'!$C$2:$C$361,"CAPITAL_CONTRIBUTIONS")</x:f>
        <x:v>0</x:v>
      </x:c>
      <x:c r="M28" s="37" t="n">
        <x:f>SUMIFS('Supplemental_Movements'!$E$2:$E$361,'Supplemental_Movements'!$A$2:$A$361,M$3,'Supplemental_Movements'!$C$2:$C$361,"CAPITAL_CONTRIBUTIONS")</x:f>
        <x:v>0</x:v>
      </x:c>
      <x:c r="N28" s="37" t="n">
        <x:f>SUMIFS('Supplemental_Movements'!$E$2:$E$361,'Supplemental_Movements'!$A$2:$A$361,N$3,'Supplemental_Movements'!$C$2:$C$361,"CAPITAL_CONTRIBUTIONS")</x:f>
        <x:v>0</x:v>
      </x:c>
      <x:c r="O28" s="37" t="n">
        <x:f>SUMIFS('Supplemental_Movements'!$E$2:$E$361,'Supplemental_Movements'!$A$2:$A$361,O$3,'Supplemental_Movements'!$C$2:$C$361,"CAPITAL_CONTRIBUTIONS")</x:f>
        <x:v>0</x:v>
      </x:c>
      <x:c r="P28" s="37" t="n">
        <x:f>SUMIFS('Supplemental_Movements'!$E$2:$E$361,'Supplemental_Movements'!$A$2:$A$361,P$3,'Supplemental_Movements'!$C$2:$C$361,"CAPITAL_CONTRIBUTIONS")</x:f>
        <x:v>0</x:v>
      </x:c>
      <x:c r="Q28" s="37" t="n">
        <x:f>SUMIFS('Supplemental_Movements'!$E$2:$E$361,'Supplemental_Movements'!$A$2:$A$361,Q$3,'Supplemental_Movements'!$C$2:$C$361,"CAPITAL_CONTRIBUTIONS")</x:f>
        <x:v>0</x:v>
      </x:c>
      <x:c r="R28" s="37" t="n">
        <x:f>SUMIFS('Supplemental_Movements'!$E$2:$E$361,'Supplemental_Movements'!$A$2:$A$361,R$3,'Supplemental_Movements'!$C$2:$C$361,"CAPITAL_CONTRIBUTIONS")</x:f>
        <x:v>0</x:v>
      </x:c>
      <x:c r="S28" s="37" t="n">
        <x:f>SUMIFS('Supplemental_Movements'!$E$2:$E$361,'Supplemental_Movements'!$A$2:$A$361,S$3,'Supplemental_Movements'!$C$2:$C$361,"CAPITAL_CONTRIBUTIONS")</x:f>
        <x:v>0</x:v>
      </x:c>
      <x:c r="T28" s="37" t="n">
        <x:f>SUMIFS('Supplemental_Movements'!$E$2:$E$361,'Supplemental_Movements'!$A$2:$A$361,T$3,'Supplemental_Movements'!$C$2:$C$361,"CAPITAL_CONTRIBUTIONS")</x:f>
        <x:v>0</x:v>
      </x:c>
      <x:c r="U28" s="37" t="n">
        <x:f>SUMIFS('Supplemental_Movements'!$E$2:$E$361,'Supplemental_Movements'!$A$2:$A$361,U$3,'Supplemental_Movements'!$C$2:$C$361,"CAPITAL_CONTRIBUTIONS")</x:f>
        <x:v>0</x:v>
      </x:c>
      <x:c r="V28" s="37" t="n">
        <x:f>SUMIFS('Supplemental_Movements'!$E$2:$E$361,'Supplemental_Movements'!$A$2:$A$361,V$3,'Supplemental_Movements'!$C$2:$C$361,"CAPITAL_CONTRIBUTIONS")</x:f>
        <x:v>0</x:v>
      </x:c>
      <x:c r="W28" s="37" t="n">
        <x:f>SUMIFS('Supplemental_Movements'!$E$2:$E$361,'Supplemental_Movements'!$A$2:$A$361,W$3,'Supplemental_Movements'!$C$2:$C$361,"CAPITAL_CONTRIBUTIONS")</x:f>
        <x:v>0</x:v>
      </x:c>
      <x:c r="X28" s="37" t="n">
        <x:f>SUMIFS('Supplemental_Movements'!$E$2:$E$361,'Supplemental_Movements'!$A$2:$A$361,X$3,'Supplemental_Movements'!$C$2:$C$361,"CAPITAL_CONTRIBUTIONS")</x:f>
        <x:v>0</x:v>
      </x:c>
      <x:c r="Y28" s="37" t="n">
        <x:f>SUMIFS('Supplemental_Movements'!$E$2:$E$361,'Supplemental_Movements'!$A$2:$A$361,Y$3,'Supplemental_Movements'!$C$2:$C$361,"CAPITAL_CONTRIBUTIONS")</x:f>
        <x:v>0</x:v>
      </x:c>
      <x:c r="Z28" s="37" t="n">
        <x:f>SUMIFS('Supplemental_Movements'!$E$2:$E$361,'Supplemental_Movements'!$A$2:$A$361,Z$3,'Supplemental_Movements'!$C$2:$C$361,"CAPITAL_CONTRIBUTIONS")</x:f>
        <x:v>0</x:v>
      </x:c>
      <x:c r="AA28" s="37" t="n">
        <x:f>SUMIFS('Supplemental_Movements'!$E$2:$E$361,'Supplemental_Movements'!$A$2:$A$361,AA$3,'Supplemental_Movements'!$C$2:$C$361,"CAPITAL_CONTRIBUTIONS")</x:f>
        <x:v>0</x:v>
      </x:c>
      <x:c r="AB28" s="37" t="n">
        <x:f>SUMIFS('Supplemental_Movements'!$E$2:$E$361,'Supplemental_Movements'!$A$2:$A$361,AB$3,'Supplemental_Movements'!$C$2:$C$361,"CAPITAL_CONTRIBUTIONS")</x:f>
        <x:v>0</x:v>
      </x:c>
      <x:c r="AC28" s="37" t="n">
        <x:f>SUMIFS('Supplemental_Movements'!$E$2:$E$361,'Supplemental_Movements'!$A$2:$A$361,AC$3,'Supplemental_Movements'!$C$2:$C$361,"CAPITAL_CONTRIBUTIONS")</x:f>
        <x:v>0</x:v>
      </x:c>
      <x:c r="AD28" s="37" t="n">
        <x:f>SUMIFS('Supplemental_Movements'!$E$2:$E$361,'Supplemental_Movements'!$A$2:$A$361,AD$3,'Supplemental_Movements'!$C$2:$C$361,"CAPITAL_CONTRIBUTIONS")</x:f>
        <x:v>0</x:v>
      </x:c>
      <x:c r="AE28" s="37" t="n">
        <x:f>SUMIFS('Supplemental_Movements'!$E$2:$E$361,'Supplemental_Movements'!$A$2:$A$361,AE$3,'Supplemental_Movements'!$C$2:$C$361,"CAPITAL_CONTRIBUTIONS")</x:f>
        <x:v>0</x:v>
      </x:c>
      <x:c r="AF28" s="37" t="n">
        <x:f>SUMIFS('Supplemental_Movements'!$E$2:$E$361,'Supplemental_Movements'!$A$2:$A$361,AF$3,'Supplemental_Movements'!$C$2:$C$361,"CAPITAL_CONTRIBUTIONS")</x:f>
        <x:v>0</x:v>
      </x:c>
      <x:c r="AG28" s="37" t="n">
        <x:f>SUMIFS('Supplemental_Movements'!$E$2:$E$361,'Supplemental_Movements'!$A$2:$A$361,AG$3,'Supplemental_Movements'!$C$2:$C$361,"CAPITAL_CONTRIBUTIONS")</x:f>
        <x:v>0</x:v>
      </x:c>
      <x:c r="AH28" s="37" t="n">
        <x:f>SUMIFS('Supplemental_Movements'!$E$2:$E$361,'Supplemental_Movements'!$A$2:$A$361,AH$3,'Supplemental_Movements'!$C$2:$C$361,"CAPITAL_CONTRIBUTIONS")</x:f>
        <x:v>0</x:v>
      </x:c>
      <x:c r="AI28" s="37" t="n">
        <x:f>SUMIFS('Supplemental_Movements'!$E$2:$E$361,'Supplemental_Movements'!$A$2:$A$361,AI$3,'Supplemental_Movements'!$C$2:$C$361,"CAPITAL_CONTRIBUTIONS")</x:f>
        <x:v>0</x:v>
      </x:c>
      <x:c r="AJ28" s="37" t="n">
        <x:f>SUMIFS('Supplemental_Movements'!$E$2:$E$361,'Supplemental_Movements'!$A$2:$A$361,AJ$3,'Supplemental_Movements'!$C$2:$C$361,"CAPITAL_CONTRIBUTIONS")</x:f>
        <x:v>0</x:v>
      </x:c>
      <x:c r="AK28" s="37" t="n">
        <x:f>SUMIFS('Supplemental_Movements'!$E$2:$E$361,'Supplemental_Movements'!$A$2:$A$361,AK$3,'Supplemental_Movements'!$C$2:$C$361,"CAPITAL_CONTRIBUTIONS")</x:f>
        <x:v>0</x:v>
      </x:c>
    </x:row>
    <x:row r="29">
      <x:c r="A29" s="38" t="str">
        <x:v>FLUJO DE CAJA DE FINANCIACIÓN (CFF)</x:v>
      </x:c>
      <x:c r="B29" s="39" t="n">
        <x:f>SUM(B24:B28)</x:f>
        <x:v>-25000</x:v>
      </x:c>
      <x:c r="C29" s="39" t="n">
        <x:f>SUM(C24:C28)</x:f>
        <x:v>-25000</x:v>
      </x:c>
      <x:c r="D29" s="39" t="n">
        <x:f>SUM(D24:D28)</x:f>
        <x:v>-150000</x:v>
      </x:c>
      <x:c r="E29" s="39" t="n">
        <x:f>SUM(E24:E28)</x:f>
        <x:v>-25000</x:v>
      </x:c>
      <x:c r="F29" s="39" t="n">
        <x:f>SUM(F24:F28)</x:f>
        <x:v>-25000</x:v>
      </x:c>
      <x:c r="G29" s="39" t="n">
        <x:f>SUM(G24:G28)</x:f>
        <x:v>-150000</x:v>
      </x:c>
      <x:c r="H29" s="39" t="n">
        <x:f>SUM(H24:H28)</x:f>
        <x:v>-25000</x:v>
      </x:c>
      <x:c r="I29" s="39" t="n">
        <x:f>SUM(I24:I28)</x:f>
        <x:v>-25000</x:v>
      </x:c>
      <x:c r="J29" s="39" t="n">
        <x:f>SUM(J24:J28)</x:f>
        <x:v>-150000</x:v>
      </x:c>
      <x:c r="K29" s="39" t="n">
        <x:f>SUM(K24:K28)</x:f>
        <x:v>-25000</x:v>
      </x:c>
      <x:c r="L29" s="39" t="n">
        <x:f>SUM(L24:L28)</x:f>
        <x:v>-25000</x:v>
      </x:c>
      <x:c r="M29" s="39" t="n">
        <x:f>SUM(M24:M28)</x:f>
        <x:v>-300000</x:v>
      </x:c>
      <x:c r="N29" s="39" t="n">
        <x:f>SUM(N24:N28)</x:f>
        <x:v>-25000</x:v>
      </x:c>
      <x:c r="O29" s="39" t="n">
        <x:f>SUM(O24:O28)</x:f>
        <x:v>-25000</x:v>
      </x:c>
      <x:c r="P29" s="39" t="n">
        <x:f>SUM(P24:P28)</x:f>
        <x:v>-150000</x:v>
      </x:c>
      <x:c r="Q29" s="39" t="n">
        <x:f>SUM(Q24:Q28)</x:f>
        <x:v>-25000</x:v>
      </x:c>
      <x:c r="R29" s="39" t="n">
        <x:f>SUM(R24:R28)</x:f>
        <x:v>1075000</x:v>
      </x:c>
      <x:c r="S29" s="39" t="n">
        <x:f>SUM(S24:S28)</x:f>
        <x:v>-150000</x:v>
      </x:c>
      <x:c r="T29" s="39" t="n">
        <x:f>SUM(T24:T28)</x:f>
        <x:v>-25000</x:v>
      </x:c>
      <x:c r="U29" s="39" t="n">
        <x:f>SUM(U24:U28)</x:f>
        <x:v>-25000</x:v>
      </x:c>
      <x:c r="V29" s="39" t="n">
        <x:f>SUM(V24:V28)</x:f>
        <x:v>-150000</x:v>
      </x:c>
      <x:c r="W29" s="39" t="n">
        <x:f>SUM(W24:W28)</x:f>
        <x:v>-25000</x:v>
      </x:c>
      <x:c r="X29" s="39" t="n">
        <x:f>SUM(X24:X28)</x:f>
        <x:v>-25000</x:v>
      </x:c>
      <x:c r="Y29" s="39" t="n">
        <x:f>SUM(Y24:Y28)</x:f>
        <x:v>-350000</x:v>
      </x:c>
      <x:c r="Z29" s="39" t="n">
        <x:f>SUM(Z24:Z28)</x:f>
        <x:v>-25000</x:v>
      </x:c>
      <x:c r="AA29" s="39" t="n">
        <x:f>SUM(AA24:AA28)</x:f>
        <x:v>-25000</x:v>
      </x:c>
      <x:c r="AB29" s="39" t="n">
        <x:f>SUM(AB24:AB28)</x:f>
        <x:v>-150000</x:v>
      </x:c>
      <x:c r="AC29" s="39" t="n">
        <x:f>SUM(AC24:AC28)</x:f>
        <x:v>-25000</x:v>
      </x:c>
      <x:c r="AD29" s="39" t="n">
        <x:f>SUM(AD24:AD28)</x:f>
        <x:v>-25000</x:v>
      </x:c>
      <x:c r="AE29" s="39" t="n">
        <x:f>SUM(AE24:AE28)</x:f>
        <x:v>-150000</x:v>
      </x:c>
      <x:c r="AF29" s="39" t="n">
        <x:f>SUM(AF24:AF28)</x:f>
        <x:v>-25000</x:v>
      </x:c>
      <x:c r="AG29" s="39" t="n">
        <x:f>SUM(AG24:AG28)</x:f>
        <x:v>-25000</x:v>
      </x:c>
      <x:c r="AH29" s="39" t="n">
        <x:f>SUM(AH24:AH28)</x:f>
        <x:v>-150000</x:v>
      </x:c>
      <x:c r="AI29" s="39" t="n">
        <x:f>SUM(AI24:AI28)</x:f>
        <x:v>-25000</x:v>
      </x:c>
      <x:c r="AJ29" s="39" t="n">
        <x:f>SUM(AJ24:AJ28)</x:f>
        <x:v>-25000</x:v>
      </x:c>
      <x:c r="AK29" s="39" t="n">
        <x:f>SUM(AK24:AK28)</x:f>
        <x:v>-650000</x:v>
      </x:c>
    </x:row>
    <x:row r="30">
      <x:c r="A30" s="36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  <x:c r="P30" s="37"/>
      <x:c r="Q30" s="37"/>
      <x:c r="R30" s="37"/>
      <x:c r="S30" s="37"/>
      <x:c r="T30" s="37"/>
      <x:c r="U30" s="37"/>
      <x:c r="V30" s="37"/>
      <x:c r="W30" s="37"/>
      <x:c r="X30" s="37"/>
      <x:c r="Y30" s="37"/>
      <x:c r="Z30" s="37"/>
      <x:c r="AA30" s="37"/>
      <x:c r="AB30" s="37"/>
      <x:c r="AC30" s="37"/>
      <x:c r="AD30" s="37"/>
      <x:c r="AE30" s="37"/>
      <x:c r="AF30" s="37"/>
      <x:c r="AG30" s="37"/>
      <x:c r="AH30" s="37"/>
      <x:c r="AI30" s="37"/>
      <x:c r="AJ30" s="37"/>
      <x:c r="AK30" s="37"/>
    </x:row>
    <x:row r="31">
      <x:c r="A31" s="36" t="str">
        <x:v>Tipo de cambio y otros</x:v>
      </x:c>
      <x:c r="B31" s="37" t="n">
        <x:f>SUMIFS('Supplemental_Movements'!$E$2:$E$361,'Supplemental_Movements'!$A$2:$A$361,B$3,'Supplemental_Movements'!$C$2:$C$361,"FX_OTHER")</x:f>
        <x:v>0</x:v>
      </x:c>
      <x:c r="C31" s="37" t="n">
        <x:f>SUMIFS('Supplemental_Movements'!$E$2:$E$361,'Supplemental_Movements'!$A$2:$A$361,C$3,'Supplemental_Movements'!$C$2:$C$361,"FX_OTHER")</x:f>
        <x:v>0</x:v>
      </x:c>
      <x:c r="D31" s="37" t="n">
        <x:f>SUMIFS('Supplemental_Movements'!$E$2:$E$361,'Supplemental_Movements'!$A$2:$A$361,D$3,'Supplemental_Movements'!$C$2:$C$361,"FX_OTHER")</x:f>
        <x:v>0</x:v>
      </x:c>
      <x:c r="E31" s="37" t="n">
        <x:f>SUMIFS('Supplemental_Movements'!$E$2:$E$361,'Supplemental_Movements'!$A$2:$A$361,E$3,'Supplemental_Movements'!$C$2:$C$361,"FX_OTHER")</x:f>
        <x:v>0</x:v>
      </x:c>
      <x:c r="F31" s="37" t="n">
        <x:f>SUMIFS('Supplemental_Movements'!$E$2:$E$361,'Supplemental_Movements'!$A$2:$A$361,F$3,'Supplemental_Movements'!$C$2:$C$361,"FX_OTHER")</x:f>
        <x:v>0</x:v>
      </x:c>
      <x:c r="G31" s="37" t="n">
        <x:f>SUMIFS('Supplemental_Movements'!$E$2:$E$361,'Supplemental_Movements'!$A$2:$A$361,G$3,'Supplemental_Movements'!$C$2:$C$361,"FX_OTHER")</x:f>
        <x:v>0</x:v>
      </x:c>
      <x:c r="H31" s="37" t="n">
        <x:f>SUMIFS('Supplemental_Movements'!$E$2:$E$361,'Supplemental_Movements'!$A$2:$A$361,H$3,'Supplemental_Movements'!$C$2:$C$361,"FX_OTHER")</x:f>
        <x:v>0</x:v>
      </x:c>
      <x:c r="I31" s="37" t="n">
        <x:f>SUMIFS('Supplemental_Movements'!$E$2:$E$361,'Supplemental_Movements'!$A$2:$A$361,I$3,'Supplemental_Movements'!$C$2:$C$361,"FX_OTHER")</x:f>
        <x:v>0</x:v>
      </x:c>
      <x:c r="J31" s="37" t="n">
        <x:f>SUMIFS('Supplemental_Movements'!$E$2:$E$361,'Supplemental_Movements'!$A$2:$A$361,J$3,'Supplemental_Movements'!$C$2:$C$361,"FX_OTHER")</x:f>
        <x:v>0</x:v>
      </x:c>
      <x:c r="K31" s="37" t="n">
        <x:f>SUMIFS('Supplemental_Movements'!$E$2:$E$361,'Supplemental_Movements'!$A$2:$A$361,K$3,'Supplemental_Movements'!$C$2:$C$361,"FX_OTHER")</x:f>
        <x:v>0</x:v>
      </x:c>
      <x:c r="L31" s="37" t="n">
        <x:f>SUMIFS('Supplemental_Movements'!$E$2:$E$361,'Supplemental_Movements'!$A$2:$A$361,L$3,'Supplemental_Movements'!$C$2:$C$361,"FX_OTHER")</x:f>
        <x:v>0</x:v>
      </x:c>
      <x:c r="M31" s="37" t="n">
        <x:f>SUMIFS('Supplemental_Movements'!$E$2:$E$361,'Supplemental_Movements'!$A$2:$A$361,M$3,'Supplemental_Movements'!$C$2:$C$361,"FX_OTHER")</x:f>
        <x:v>0</x:v>
      </x:c>
      <x:c r="N31" s="37" t="n">
        <x:f>SUMIFS('Supplemental_Movements'!$E$2:$E$361,'Supplemental_Movements'!$A$2:$A$361,N$3,'Supplemental_Movements'!$C$2:$C$361,"FX_OTHER")</x:f>
        <x:v>0</x:v>
      </x:c>
      <x:c r="O31" s="37" t="n">
        <x:f>SUMIFS('Supplemental_Movements'!$E$2:$E$361,'Supplemental_Movements'!$A$2:$A$361,O$3,'Supplemental_Movements'!$C$2:$C$361,"FX_OTHER")</x:f>
        <x:v>0</x:v>
      </x:c>
      <x:c r="P31" s="37" t="n">
        <x:f>SUMIFS('Supplemental_Movements'!$E$2:$E$361,'Supplemental_Movements'!$A$2:$A$361,P$3,'Supplemental_Movements'!$C$2:$C$361,"FX_OTHER")</x:f>
        <x:v>0</x:v>
      </x:c>
      <x:c r="Q31" s="37" t="n">
        <x:f>SUMIFS('Supplemental_Movements'!$E$2:$E$361,'Supplemental_Movements'!$A$2:$A$361,Q$3,'Supplemental_Movements'!$C$2:$C$361,"FX_OTHER")</x:f>
        <x:v>0</x:v>
      </x:c>
      <x:c r="R31" s="37" t="n">
        <x:f>SUMIFS('Supplemental_Movements'!$E$2:$E$361,'Supplemental_Movements'!$A$2:$A$361,R$3,'Supplemental_Movements'!$C$2:$C$361,"FX_OTHER")</x:f>
        <x:v>0</x:v>
      </x:c>
      <x:c r="S31" s="37" t="n">
        <x:f>SUMIFS('Supplemental_Movements'!$E$2:$E$361,'Supplemental_Movements'!$A$2:$A$361,S$3,'Supplemental_Movements'!$C$2:$C$361,"FX_OTHER")</x:f>
        <x:v>0</x:v>
      </x:c>
      <x:c r="T31" s="37" t="n">
        <x:f>SUMIFS('Supplemental_Movements'!$E$2:$E$361,'Supplemental_Movements'!$A$2:$A$361,T$3,'Supplemental_Movements'!$C$2:$C$361,"FX_OTHER")</x:f>
        <x:v>0</x:v>
      </x:c>
      <x:c r="U31" s="37" t="n">
        <x:f>SUMIFS('Supplemental_Movements'!$E$2:$E$361,'Supplemental_Movements'!$A$2:$A$361,U$3,'Supplemental_Movements'!$C$2:$C$361,"FX_OTHER")</x:f>
        <x:v>0</x:v>
      </x:c>
      <x:c r="V31" s="37" t="n">
        <x:f>SUMIFS('Supplemental_Movements'!$E$2:$E$361,'Supplemental_Movements'!$A$2:$A$361,V$3,'Supplemental_Movements'!$C$2:$C$361,"FX_OTHER")</x:f>
        <x:v>0</x:v>
      </x:c>
      <x:c r="W31" s="37" t="n">
        <x:f>SUMIFS('Supplemental_Movements'!$E$2:$E$361,'Supplemental_Movements'!$A$2:$A$361,W$3,'Supplemental_Movements'!$C$2:$C$361,"FX_OTHER")</x:f>
        <x:v>0</x:v>
      </x:c>
      <x:c r="X31" s="37" t="n">
        <x:f>SUMIFS('Supplemental_Movements'!$E$2:$E$361,'Supplemental_Movements'!$A$2:$A$361,X$3,'Supplemental_Movements'!$C$2:$C$361,"FX_OTHER")</x:f>
        <x:v>0</x:v>
      </x:c>
      <x:c r="Y31" s="37" t="n">
        <x:f>SUMIFS('Supplemental_Movements'!$E$2:$E$361,'Supplemental_Movements'!$A$2:$A$361,Y$3,'Supplemental_Movements'!$C$2:$C$361,"FX_OTHER")</x:f>
        <x:v>0</x:v>
      </x:c>
      <x:c r="Z31" s="37" t="n">
        <x:f>SUMIFS('Supplemental_Movements'!$E$2:$E$361,'Supplemental_Movements'!$A$2:$A$361,Z$3,'Supplemental_Movements'!$C$2:$C$361,"FX_OTHER")</x:f>
        <x:v>0</x:v>
      </x:c>
      <x:c r="AA31" s="37" t="n">
        <x:f>SUMIFS('Supplemental_Movements'!$E$2:$E$361,'Supplemental_Movements'!$A$2:$A$361,AA$3,'Supplemental_Movements'!$C$2:$C$361,"FX_OTHER")</x:f>
        <x:v>0</x:v>
      </x:c>
      <x:c r="AB31" s="37" t="n">
        <x:f>SUMIFS('Supplemental_Movements'!$E$2:$E$361,'Supplemental_Movements'!$A$2:$A$361,AB$3,'Supplemental_Movements'!$C$2:$C$361,"FX_OTHER")</x:f>
        <x:v>0</x:v>
      </x:c>
      <x:c r="AC31" s="37" t="n">
        <x:f>SUMIFS('Supplemental_Movements'!$E$2:$E$361,'Supplemental_Movements'!$A$2:$A$361,AC$3,'Supplemental_Movements'!$C$2:$C$361,"FX_OTHER")</x:f>
        <x:v>0</x:v>
      </x:c>
      <x:c r="AD31" s="37" t="n">
        <x:f>SUMIFS('Supplemental_Movements'!$E$2:$E$361,'Supplemental_Movements'!$A$2:$A$361,AD$3,'Supplemental_Movements'!$C$2:$C$361,"FX_OTHER")</x:f>
        <x:v>0</x:v>
      </x:c>
      <x:c r="AE31" s="37" t="n">
        <x:f>SUMIFS('Supplemental_Movements'!$E$2:$E$361,'Supplemental_Movements'!$A$2:$A$361,AE$3,'Supplemental_Movements'!$C$2:$C$361,"FX_OTHER")</x:f>
        <x:v>0</x:v>
      </x:c>
      <x:c r="AF31" s="37" t="n">
        <x:f>SUMIFS('Supplemental_Movements'!$E$2:$E$361,'Supplemental_Movements'!$A$2:$A$361,AF$3,'Supplemental_Movements'!$C$2:$C$361,"FX_OTHER")</x:f>
        <x:v>0</x:v>
      </x:c>
      <x:c r="AG31" s="37" t="n">
        <x:f>SUMIFS('Supplemental_Movements'!$E$2:$E$361,'Supplemental_Movements'!$A$2:$A$361,AG$3,'Supplemental_Movements'!$C$2:$C$361,"FX_OTHER")</x:f>
        <x:v>0</x:v>
      </x:c>
      <x:c r="AH31" s="37" t="n">
        <x:f>SUMIFS('Supplemental_Movements'!$E$2:$E$361,'Supplemental_Movements'!$A$2:$A$361,AH$3,'Supplemental_Movements'!$C$2:$C$361,"FX_OTHER")</x:f>
        <x:v>0</x:v>
      </x:c>
      <x:c r="AI31" s="37" t="n">
        <x:f>SUMIFS('Supplemental_Movements'!$E$2:$E$361,'Supplemental_Movements'!$A$2:$A$361,AI$3,'Supplemental_Movements'!$C$2:$C$361,"FX_OTHER")</x:f>
        <x:v>0</x:v>
      </x:c>
      <x:c r="AJ31" s="37" t="n">
        <x:f>SUMIFS('Supplemental_Movements'!$E$2:$E$361,'Supplemental_Movements'!$A$2:$A$361,AJ$3,'Supplemental_Movements'!$C$2:$C$361,"FX_OTHER")</x:f>
        <x:v>0</x:v>
      </x:c>
      <x:c r="AK31" s="37" t="n">
        <x:f>SUMIFS('Supplemental_Movements'!$E$2:$E$361,'Supplemental_Movements'!$A$2:$A$361,AK$3,'Supplemental_Movements'!$C$2:$C$361,"FX_OTHER")</x:f>
        <x:v>0</x:v>
      </x:c>
    </x:row>
    <x:row r="32">
      <x:c r="A32" s="42" t="str">
        <x:v>VARIACIÓN NETA DE EFECTIVO</x:v>
      </x:c>
      <x:c r="B32" s="43" t="n">
        <x:f>SUM(B16,B22,B29,B31)</x:f>
        <x:v>-391457</x:v>
      </x:c>
      <x:c r="C32" s="43" t="n">
        <x:f>SUM(C16,C22,C29,C31)</x:f>
        <x:v>-386298</x:v>
      </x:c>
      <x:c r="D32" s="43" t="n">
        <x:f>SUM(D16,D22,D29,D31)</x:f>
        <x:v>-14480</x:v>
      </x:c>
      <x:c r="E32" s="43" t="n">
        <x:f>SUM(E16,E22,E29,E31)</x:f>
        <x:v>64614</x:v>
      </x:c>
      <x:c r="F32" s="43" t="n">
        <x:f>SUM(F16,F22,F29,F31)</x:f>
        <x:v>148245</x:v>
      </x:c>
      <x:c r="G32" s="43" t="n">
        <x:f>SUM(G16,G22,G29,G31)</x:f>
        <x:v>-256392</x:v>
      </x:c>
      <x:c r="H32" s="43" t="n">
        <x:f>SUM(H16,H22,H29,H31)</x:f>
        <x:v>744072</x:v>
      </x:c>
      <x:c r="I32" s="43" t="n">
        <x:f>SUM(I16,I22,I29,I31)</x:f>
        <x:v>447077</x:v>
      </x:c>
      <x:c r="J32" s="43" t="n">
        <x:f>SUM(J16,J22,J29,J31)</x:f>
        <x:v>-754024</x:v>
      </x:c>
      <x:c r="K32" s="43" t="n">
        <x:f>SUM(K16,K22,K29,K31)</x:f>
        <x:v>338998</x:v>
      </x:c>
      <x:c r="L32" s="43" t="n">
        <x:f>SUM(L16,L22,L29,L31)</x:f>
        <x:v>-74639</x:v>
      </x:c>
      <x:c r="M32" s="43" t="n">
        <x:f>SUM(M16,M22,M29,M31)</x:f>
        <x:v>-119716</x:v>
      </x:c>
      <x:c r="N32" s="43" t="n">
        <x:f>SUM(N16,N22,N29,N31)</x:f>
        <x:v>1755921</x:v>
      </x:c>
      <x:c r="O32" s="43" t="n">
        <x:f>SUM(O16,O22,O29,O31)</x:f>
        <x:v>-412762</x:v>
      </x:c>
      <x:c r="P32" s="43" t="n">
        <x:f>SUM(P16,P22,P29,P31)</x:f>
        <x:v>335291</x:v>
      </x:c>
      <x:c r="Q32" s="43" t="n">
        <x:f>SUM(Q16,Q22,Q29,Q31)</x:f>
        <x:v>-2020965</x:v>
      </x:c>
      <x:c r="R32" s="43" t="n">
        <x:f>SUM(R16,R22,R29,R31)</x:f>
        <x:v>1257020</x:v>
      </x:c>
      <x:c r="S32" s="43" t="n">
        <x:f>SUM(S16,S22,S29,S31)</x:f>
        <x:v>-384866</x:v>
      </x:c>
      <x:c r="T32" s="43" t="n">
        <x:f>SUM(T16,T22,T29,T31)</x:f>
        <x:v>495143</x:v>
      </x:c>
      <x:c r="U32" s="43" t="n">
        <x:f>SUM(U16,U22,U29,U31)</x:f>
        <x:v>577872</x:v>
      </x:c>
      <x:c r="V32" s="43" t="n">
        <x:f>SUM(V16,V22,V29,V31)</x:f>
        <x:v>1714357</x:v>
      </x:c>
      <x:c r="W32" s="43" t="n">
        <x:f>SUM(W16,W22,W29,W31)</x:f>
        <x:v>204632</x:v>
      </x:c>
      <x:c r="X32" s="43" t="n">
        <x:f>SUM(X16,X22,X29,X31)</x:f>
        <x:v>-259746</x:v>
      </x:c>
      <x:c r="Y32" s="43" t="n">
        <x:f>SUM(Y16,Y22,Y29,Y31)</x:f>
        <x:v>-387529</x:v>
      </x:c>
      <x:c r="Z32" s="43" t="n">
        <x:f>SUM(Z16,Z22,Z29,Z31)</x:f>
        <x:v>1705007</x:v>
      </x:c>
      <x:c r="AA32" s="43" t="n">
        <x:f>SUM(AA16,AA22,AA29,AA31)</x:f>
        <x:v>-697242</x:v>
      </x:c>
      <x:c r="AB32" s="43" t="n">
        <x:f>SUM(AB16,AB22,AB29,AB31)</x:f>
        <x:v>979264</x:v>
      </x:c>
      <x:c r="AC32" s="43" t="n">
        <x:f>SUM(AC16,AC22,AC29,AC31)</x:f>
        <x:v>106405</x:v>
      </x:c>
      <x:c r="AD32" s="43" t="n">
        <x:f>SUM(AD16,AD22,AD29,AD31)</x:f>
        <x:v>200383</x:v>
      </x:c>
      <x:c r="AE32" s="43" t="n">
        <x:f>SUM(AE16,AE22,AE29,AE31)</x:f>
        <x:v>-204357</x:v>
      </x:c>
      <x:c r="AF32" s="43" t="n">
        <x:f>SUM(AF16,AF22,AF29,AF31)</x:f>
        <x:v>845800</x:v>
      </x:c>
      <x:c r="AG32" s="43" t="n">
        <x:f>SUM(AG16,AG22,AG29,AG31)</x:f>
        <x:v>550234</x:v>
      </x:c>
      <x:c r="AH32" s="43" t="n">
        <x:f>SUM(AH16,AH22,AH29,AH31)</x:f>
        <x:v>-1223707</x:v>
      </x:c>
      <x:c r="AI32" s="43" t="n">
        <x:f>SUM(AI16,AI22,AI29,AI31)</x:f>
        <x:v>465478</x:v>
      </x:c>
      <x:c r="AJ32" s="43" t="n">
        <x:f>SUM(AJ16,AJ22,AJ29,AJ31)</x:f>
        <x:v>28641</x:v>
      </x:c>
      <x:c r="AK32" s="43" t="n">
        <x:f>SUM(AK16,AK22,AK29,AK31)</x:f>
        <x:v>-326752</x:v>
      </x:c>
    </x:row>
    <x:row r="33">
      <x:c r="A33" s="36" t="str">
        <x:v>Efectivo inicial</x:v>
      </x:c>
      <x:c r="B33" s="37" t="n">
        <x:f>SUMIFS('Balance_Sheet_Data'!$E$2:$E$630,'Balance_Sheet_Data'!$A$2:$A$630,"2023-12",'Balance_Sheet_Data'!$C$2:$C$630,"1000")</x:f>
        <x:v>3000000</x:v>
      </x:c>
      <x:c r="C33" s="37" t="n">
        <x:f>B34</x:f>
        <x:v>2608543</x:v>
      </x:c>
      <x:c r="D33" s="37" t="n">
        <x:f>C34</x:f>
        <x:v>2222245</x:v>
      </x:c>
      <x:c r="E33" s="37" t="n">
        <x:f>D34</x:f>
        <x:v>2207765</x:v>
      </x:c>
      <x:c r="F33" s="37" t="n">
        <x:f>E34</x:f>
        <x:v>2272379</x:v>
      </x:c>
      <x:c r="G33" s="37" t="n">
        <x:f>F34</x:f>
        <x:v>2420624</x:v>
      </x:c>
      <x:c r="H33" s="37" t="n">
        <x:f>G34</x:f>
        <x:v>2164232</x:v>
      </x:c>
      <x:c r="I33" s="37" t="n">
        <x:f>H34</x:f>
        <x:v>2908304</x:v>
      </x:c>
      <x:c r="J33" s="37" t="n">
        <x:f>I34</x:f>
        <x:v>3355381</x:v>
      </x:c>
      <x:c r="K33" s="37" t="n">
        <x:f>J34</x:f>
        <x:v>2601357</x:v>
      </x:c>
      <x:c r="L33" s="37" t="n">
        <x:f>K34</x:f>
        <x:v>2940355</x:v>
      </x:c>
      <x:c r="M33" s="37" t="n">
        <x:f>L34</x:f>
        <x:v>2865716</x:v>
      </x:c>
      <x:c r="N33" s="37" t="n">
        <x:f>M34</x:f>
        <x:v>2746000</x:v>
      </x:c>
      <x:c r="O33" s="37" t="n">
        <x:f>N34</x:f>
        <x:v>4501921</x:v>
      </x:c>
      <x:c r="P33" s="37" t="n">
        <x:f>O34</x:f>
        <x:v>4089159</x:v>
      </x:c>
      <x:c r="Q33" s="37" t="n">
        <x:f>P34</x:f>
        <x:v>4424450</x:v>
      </x:c>
      <x:c r="R33" s="37" t="n">
        <x:f>Q34</x:f>
        <x:v>2403485</x:v>
      </x:c>
      <x:c r="S33" s="37" t="n">
        <x:f>R34</x:f>
        <x:v>3660505</x:v>
      </x:c>
      <x:c r="T33" s="37" t="n">
        <x:f>S34</x:f>
        <x:v>3275639</x:v>
      </x:c>
      <x:c r="U33" s="37" t="n">
        <x:f>T34</x:f>
        <x:v>3770782</x:v>
      </x:c>
      <x:c r="V33" s="37" t="n">
        <x:f>U34</x:f>
        <x:v>4348654</x:v>
      </x:c>
      <x:c r="W33" s="37" t="n">
        <x:f>V34</x:f>
        <x:v>6063011</x:v>
      </x:c>
      <x:c r="X33" s="37" t="n">
        <x:f>W34</x:f>
        <x:v>6267643</x:v>
      </x:c>
      <x:c r="Y33" s="37" t="n">
        <x:f>X34</x:f>
        <x:v>6007897</x:v>
      </x:c>
      <x:c r="Z33" s="37" t="n">
        <x:f>Y34</x:f>
        <x:v>5620368</x:v>
      </x:c>
      <x:c r="AA33" s="37" t="n">
        <x:f>Z34</x:f>
        <x:v>7325375</x:v>
      </x:c>
      <x:c r="AB33" s="37" t="n">
        <x:f>AA34</x:f>
        <x:v>6628133</x:v>
      </x:c>
      <x:c r="AC33" s="37" t="n">
        <x:f>AB34</x:f>
        <x:v>7607397</x:v>
      </x:c>
      <x:c r="AD33" s="37" t="n">
        <x:f>AC34</x:f>
        <x:v>7713802</x:v>
      </x:c>
      <x:c r="AE33" s="37" t="n">
        <x:f>AD34</x:f>
        <x:v>7914185</x:v>
      </x:c>
      <x:c r="AF33" s="37" t="n">
        <x:f>AE34</x:f>
        <x:v>7709828</x:v>
      </x:c>
      <x:c r="AG33" s="37" t="n">
        <x:f>AF34</x:f>
        <x:v>8555628</x:v>
      </x:c>
      <x:c r="AH33" s="37" t="n">
        <x:f>AG34</x:f>
        <x:v>9105862</x:v>
      </x:c>
      <x:c r="AI33" s="37" t="n">
        <x:f>AH34</x:f>
        <x:v>7882155</x:v>
      </x:c>
      <x:c r="AJ33" s="37" t="n">
        <x:f>AI34</x:f>
        <x:v>8347633</x:v>
      </x:c>
      <x:c r="AK33" s="37" t="n">
        <x:f>AJ34</x:f>
        <x:v>8376274</x:v>
      </x:c>
    </x:row>
    <x:row r="34">
      <x:c r="A34" s="42" t="str">
        <x:v>Efectivo final calculado</x:v>
      </x:c>
      <x:c r="B34" s="43" t="n">
        <x:f>B33+B32</x:f>
        <x:v>2608543</x:v>
      </x:c>
      <x:c r="C34" s="43" t="n">
        <x:f>C33+C32</x:f>
        <x:v>2222245</x:v>
      </x:c>
      <x:c r="D34" s="43" t="n">
        <x:f>D33+D32</x:f>
        <x:v>2207765</x:v>
      </x:c>
      <x:c r="E34" s="43" t="n">
        <x:f>E33+E32</x:f>
        <x:v>2272379</x:v>
      </x:c>
      <x:c r="F34" s="43" t="n">
        <x:f>F33+F32</x:f>
        <x:v>2420624</x:v>
      </x:c>
      <x:c r="G34" s="43" t="n">
        <x:f>G33+G32</x:f>
        <x:v>2164232</x:v>
      </x:c>
      <x:c r="H34" s="43" t="n">
        <x:f>H33+H32</x:f>
        <x:v>2908304</x:v>
      </x:c>
      <x:c r="I34" s="43" t="n">
        <x:f>I33+I32</x:f>
        <x:v>3355381</x:v>
      </x:c>
      <x:c r="J34" s="43" t="n">
        <x:f>J33+J32</x:f>
        <x:v>2601357</x:v>
      </x:c>
      <x:c r="K34" s="43" t="n">
        <x:f>K33+K32</x:f>
        <x:v>2940355</x:v>
      </x:c>
      <x:c r="L34" s="43" t="n">
        <x:f>L33+L32</x:f>
        <x:v>2865716</x:v>
      </x:c>
      <x:c r="M34" s="43" t="n">
        <x:f>M33+M32</x:f>
        <x:v>2746000</x:v>
      </x:c>
      <x:c r="N34" s="43" t="n">
        <x:f>N33+N32</x:f>
        <x:v>4501921</x:v>
      </x:c>
      <x:c r="O34" s="43" t="n">
        <x:f>O33+O32</x:f>
        <x:v>4089159</x:v>
      </x:c>
      <x:c r="P34" s="43" t="n">
        <x:f>P33+P32</x:f>
        <x:v>4424450</x:v>
      </x:c>
      <x:c r="Q34" s="43" t="n">
        <x:f>Q33+Q32</x:f>
        <x:v>2403485</x:v>
      </x:c>
      <x:c r="R34" s="43" t="n">
        <x:f>R33+R32</x:f>
        <x:v>3660505</x:v>
      </x:c>
      <x:c r="S34" s="43" t="n">
        <x:f>S33+S32</x:f>
        <x:v>3275639</x:v>
      </x:c>
      <x:c r="T34" s="43" t="n">
        <x:f>T33+T32</x:f>
        <x:v>3770782</x:v>
      </x:c>
      <x:c r="U34" s="43" t="n">
        <x:f>U33+U32</x:f>
        <x:v>4348654</x:v>
      </x:c>
      <x:c r="V34" s="43" t="n">
        <x:f>V33+V32</x:f>
        <x:v>6063011</x:v>
      </x:c>
      <x:c r="W34" s="43" t="n">
        <x:f>W33+W32</x:f>
        <x:v>6267643</x:v>
      </x:c>
      <x:c r="X34" s="43" t="n">
        <x:f>X33+X32</x:f>
        <x:v>6007897</x:v>
      </x:c>
      <x:c r="Y34" s="43" t="n">
        <x:f>Y33+Y32</x:f>
        <x:v>5620368</x:v>
      </x:c>
      <x:c r="Z34" s="43" t="n">
        <x:f>Z33+Z32</x:f>
        <x:v>7325375</x:v>
      </x:c>
      <x:c r="AA34" s="43" t="n">
        <x:f>AA33+AA32</x:f>
        <x:v>6628133</x:v>
      </x:c>
      <x:c r="AB34" s="43" t="n">
        <x:f>AB33+AB32</x:f>
        <x:v>7607397</x:v>
      </x:c>
      <x:c r="AC34" s="43" t="n">
        <x:f>AC33+AC32</x:f>
        <x:v>7713802</x:v>
      </x:c>
      <x:c r="AD34" s="43" t="n">
        <x:f>AD33+AD32</x:f>
        <x:v>7914185</x:v>
      </x:c>
      <x:c r="AE34" s="43" t="n">
        <x:f>AE33+AE32</x:f>
        <x:v>7709828</x:v>
      </x:c>
      <x:c r="AF34" s="43" t="n">
        <x:f>AF33+AF32</x:f>
        <x:v>8555628</x:v>
      </x:c>
      <x:c r="AG34" s="43" t="n">
        <x:f>AG33+AG32</x:f>
        <x:v>9105862</x:v>
      </x:c>
      <x:c r="AH34" s="43" t="n">
        <x:f>AH33+AH32</x:f>
        <x:v>7882155</x:v>
      </x:c>
      <x:c r="AI34" s="43" t="n">
        <x:f>AI33+AI32</x:f>
        <x:v>8347633</x:v>
      </x:c>
      <x:c r="AJ34" s="43" t="n">
        <x:f>AJ33+AJ32</x:f>
        <x:v>8376274</x:v>
      </x:c>
      <x:c r="AK34" s="43" t="n">
        <x:f>AK33+AK32</x:f>
        <x:v>8049522</x:v>
      </x:c>
    </x:row>
    <x:row r="35">
      <x:c r="A35" s="38" t="str">
        <x:v>Efectivo final según balance</x:v>
      </x:c>
      <x:c r="B35" s="39" t="n">
        <x:f>'Financial_Statements'!B33</x:f>
        <x:v>2608543</x:v>
      </x:c>
      <x:c r="C35" s="39" t="n">
        <x:f>'Financial_Statements'!C33</x:f>
        <x:v>2222245</x:v>
      </x:c>
      <x:c r="D35" s="39" t="n">
        <x:f>'Financial_Statements'!D33</x:f>
        <x:v>2207765</x:v>
      </x:c>
      <x:c r="E35" s="39" t="n">
        <x:f>'Financial_Statements'!E33</x:f>
        <x:v>2272379</x:v>
      </x:c>
      <x:c r="F35" s="39" t="n">
        <x:f>'Financial_Statements'!F33</x:f>
        <x:v>2420624</x:v>
      </x:c>
      <x:c r="G35" s="39" t="n">
        <x:f>'Financial_Statements'!G33</x:f>
        <x:v>2164232</x:v>
      </x:c>
      <x:c r="H35" s="39" t="n">
        <x:f>'Financial_Statements'!H33</x:f>
        <x:v>2908304</x:v>
      </x:c>
      <x:c r="I35" s="39" t="n">
        <x:f>'Financial_Statements'!I33</x:f>
        <x:v>3355381</x:v>
      </x:c>
      <x:c r="J35" s="39" t="n">
        <x:f>'Financial_Statements'!J33</x:f>
        <x:v>2601357</x:v>
      </x:c>
      <x:c r="K35" s="39" t="n">
        <x:f>'Financial_Statements'!K33</x:f>
        <x:v>2940355</x:v>
      </x:c>
      <x:c r="L35" s="39" t="n">
        <x:f>'Financial_Statements'!L33</x:f>
        <x:v>2865716</x:v>
      </x:c>
      <x:c r="M35" s="39" t="n">
        <x:f>'Financial_Statements'!M33</x:f>
        <x:v>2746000</x:v>
      </x:c>
      <x:c r="N35" s="39" t="n">
        <x:f>'Financial_Statements'!N33</x:f>
        <x:v>4501921</x:v>
      </x:c>
      <x:c r="O35" s="39" t="n">
        <x:f>'Financial_Statements'!O33</x:f>
        <x:v>4089159</x:v>
      </x:c>
      <x:c r="P35" s="39" t="n">
        <x:f>'Financial_Statements'!P33</x:f>
        <x:v>4424450</x:v>
      </x:c>
      <x:c r="Q35" s="39" t="n">
        <x:f>'Financial_Statements'!Q33</x:f>
        <x:v>2403485</x:v>
      </x:c>
      <x:c r="R35" s="39" t="n">
        <x:f>'Financial_Statements'!R33</x:f>
        <x:v>3660505</x:v>
      </x:c>
      <x:c r="S35" s="39" t="n">
        <x:f>'Financial_Statements'!S33</x:f>
        <x:v>3275639</x:v>
      </x:c>
      <x:c r="T35" s="39" t="n">
        <x:f>'Financial_Statements'!T33</x:f>
        <x:v>3770782</x:v>
      </x:c>
      <x:c r="U35" s="39" t="n">
        <x:f>'Financial_Statements'!U33</x:f>
        <x:v>4348654</x:v>
      </x:c>
      <x:c r="V35" s="39" t="n">
        <x:f>'Financial_Statements'!V33</x:f>
        <x:v>6063011</x:v>
      </x:c>
      <x:c r="W35" s="39" t="n">
        <x:f>'Financial_Statements'!W33</x:f>
        <x:v>6267643</x:v>
      </x:c>
      <x:c r="X35" s="39" t="n">
        <x:f>'Financial_Statements'!X33</x:f>
        <x:v>6007897</x:v>
      </x:c>
      <x:c r="Y35" s="39" t="n">
        <x:f>'Financial_Statements'!Y33</x:f>
        <x:v>5620368</x:v>
      </x:c>
      <x:c r="Z35" s="39" t="n">
        <x:f>'Financial_Statements'!Z33</x:f>
        <x:v>7325375</x:v>
      </x:c>
      <x:c r="AA35" s="39" t="n">
        <x:f>'Financial_Statements'!AA33</x:f>
        <x:v>6628133</x:v>
      </x:c>
      <x:c r="AB35" s="39" t="n">
        <x:f>'Financial_Statements'!AB33</x:f>
        <x:v>7607397</x:v>
      </x:c>
      <x:c r="AC35" s="39" t="n">
        <x:f>'Financial_Statements'!AC33</x:f>
        <x:v>7713802</x:v>
      </x:c>
      <x:c r="AD35" s="39" t="n">
        <x:f>'Financial_Statements'!AD33</x:f>
        <x:v>7914185</x:v>
      </x:c>
      <x:c r="AE35" s="39" t="n">
        <x:f>'Financial_Statements'!AE33</x:f>
        <x:v>7709828</x:v>
      </x:c>
      <x:c r="AF35" s="39" t="n">
        <x:f>'Financial_Statements'!AF33</x:f>
        <x:v>8555628</x:v>
      </x:c>
      <x:c r="AG35" s="39" t="n">
        <x:f>'Financial_Statements'!AG33</x:f>
        <x:v>9105862</x:v>
      </x:c>
      <x:c r="AH35" s="39" t="n">
        <x:f>'Financial_Statements'!AH33</x:f>
        <x:v>7882155</x:v>
      </x:c>
      <x:c r="AI35" s="39" t="n">
        <x:f>'Financial_Statements'!AI33</x:f>
        <x:v>8347633</x:v>
      </x:c>
      <x:c r="AJ35" s="39" t="n">
        <x:f>'Financial_Statements'!AJ33</x:f>
        <x:v>8376274</x:v>
      </x:c>
      <x:c r="AK35" s="39" t="n">
        <x:f>'Financial_Statements'!AK33</x:f>
        <x:v>8049522</x:v>
      </x:c>
    </x:row>
    <x:row r="36">
      <x:c r="A36" s="35" t="str">
        <x:v>CHECK DE CONCILIACIÓN</x:v>
      </x:c>
      <x:c r="B36" s="41" t="n">
        <x:f>B34-B35</x:f>
        <x:v>0</x:v>
      </x:c>
      <x:c r="C36" s="41" t="n">
        <x:f>C34-C35</x:f>
        <x:v>0</x:v>
      </x:c>
      <x:c r="D36" s="41" t="n">
        <x:f>D34-D35</x:f>
        <x:v>0</x:v>
      </x:c>
      <x:c r="E36" s="41" t="n">
        <x:f>E34-E35</x:f>
        <x:v>0</x:v>
      </x:c>
      <x:c r="F36" s="41" t="n">
        <x:f>F34-F35</x:f>
        <x:v>0</x:v>
      </x:c>
      <x:c r="G36" s="41" t="n">
        <x:f>G34-G35</x:f>
        <x:v>0</x:v>
      </x:c>
      <x:c r="H36" s="41" t="n">
        <x:f>H34-H35</x:f>
        <x:v>0</x:v>
      </x:c>
      <x:c r="I36" s="41" t="n">
        <x:f>I34-I35</x:f>
        <x:v>0</x:v>
      </x:c>
      <x:c r="J36" s="41" t="n">
        <x:f>J34-J35</x:f>
        <x:v>0</x:v>
      </x:c>
      <x:c r="K36" s="41" t="n">
        <x:f>K34-K35</x:f>
        <x:v>0</x:v>
      </x:c>
      <x:c r="L36" s="41" t="n">
        <x:f>L34-L35</x:f>
        <x:v>0</x:v>
      </x:c>
      <x:c r="M36" s="41" t="n">
        <x:f>M34-M35</x:f>
        <x:v>0</x:v>
      </x:c>
      <x:c r="N36" s="41" t="n">
        <x:f>N34-N35</x:f>
        <x:v>0</x:v>
      </x:c>
      <x:c r="O36" s="41" t="n">
        <x:f>O34-O35</x:f>
        <x:v>0</x:v>
      </x:c>
      <x:c r="P36" s="41" t="n">
        <x:f>P34-P35</x:f>
        <x:v>0</x:v>
      </x:c>
      <x:c r="Q36" s="41" t="n">
        <x:f>Q34-Q35</x:f>
        <x:v>0</x:v>
      </x:c>
      <x:c r="R36" s="41" t="n">
        <x:f>R34-R35</x:f>
        <x:v>0</x:v>
      </x:c>
      <x:c r="S36" s="41" t="n">
        <x:f>S34-S35</x:f>
        <x:v>0</x:v>
      </x:c>
      <x:c r="T36" s="41" t="n">
        <x:f>T34-T35</x:f>
        <x:v>0</x:v>
      </x:c>
      <x:c r="U36" s="41" t="n">
        <x:f>U34-U35</x:f>
        <x:v>0</x:v>
      </x:c>
      <x:c r="V36" s="41" t="n">
        <x:f>V34-V35</x:f>
        <x:v>0</x:v>
      </x:c>
      <x:c r="W36" s="41" t="n">
        <x:f>W34-W35</x:f>
        <x:v>0</x:v>
      </x:c>
      <x:c r="X36" s="41" t="n">
        <x:f>X34-X35</x:f>
        <x:v>0</x:v>
      </x:c>
      <x:c r="Y36" s="41" t="n">
        <x:f>Y34-Y35</x:f>
        <x:v>0</x:v>
      </x:c>
      <x:c r="Z36" s="41" t="n">
        <x:f>Z34-Z35</x:f>
        <x:v>0</x:v>
      </x:c>
      <x:c r="AA36" s="41" t="n">
        <x:f>AA34-AA35</x:f>
        <x:v>0</x:v>
      </x:c>
      <x:c r="AB36" s="41" t="n">
        <x:f>AB34-AB35</x:f>
        <x:v>0</x:v>
      </x:c>
      <x:c r="AC36" s="41" t="n">
        <x:f>AC34-AC35</x:f>
        <x:v>0</x:v>
      </x:c>
      <x:c r="AD36" s="41" t="n">
        <x:f>AD34-AD35</x:f>
        <x:v>0</x:v>
      </x:c>
      <x:c r="AE36" s="41" t="n">
        <x:f>AE34-AE35</x:f>
        <x:v>0</x:v>
      </x:c>
      <x:c r="AF36" s="41" t="n">
        <x:f>AF34-AF35</x:f>
        <x:v>0</x:v>
      </x:c>
      <x:c r="AG36" s="41" t="n">
        <x:f>AG34-AG35</x:f>
        <x:v>0</x:v>
      </x:c>
      <x:c r="AH36" s="41" t="n">
        <x:f>AH34-AH35</x:f>
        <x:v>0</x:v>
      </x:c>
      <x:c r="AI36" s="41" t="n">
        <x:f>AI34-AI35</x:f>
        <x:v>0</x:v>
      </x:c>
      <x:c r="AJ36" s="41" t="n">
        <x:f>AJ34-AJ35</x:f>
        <x:v>0</x:v>
      </x:c>
      <x:c r="AK36" s="41" t="n">
        <x:f>AK34-AK35</x:f>
        <x:v>0</x:v>
      </x:c>
    </x:row>
    <x:row r="37">
      <x:c r="A37" s="38" t="str">
        <x:v>FREE CASH FLOW (CFO - CAPEX)</x:v>
      </x:c>
      <x:c r="B37" s="39" t="n">
        <x:f>B16+B18</x:f>
        <x:v>-351457</x:v>
      </x:c>
      <x:c r="C37" s="39" t="n">
        <x:f>C16+C18</x:f>
        <x:v>-346298</x:v>
      </x:c>
      <x:c r="D37" s="39" t="n">
        <x:f>D16+D18</x:f>
        <x:v>180520</x:v>
      </x:c>
      <x:c r="E37" s="39" t="n">
        <x:f>E16+E18</x:f>
        <x:v>104614</x:v>
      </x:c>
      <x:c r="F37" s="39" t="n">
        <x:f>F16+F18</x:f>
        <x:v>188245</x:v>
      </x:c>
      <x:c r="G37" s="39" t="n">
        <x:f>G16+G18</x:f>
        <x:v>-61392</x:v>
      </x:c>
      <x:c r="H37" s="39" t="n">
        <x:f>H16+H18</x:f>
        <x:v>784072</x:v>
      </x:c>
      <x:c r="I37" s="39" t="n">
        <x:f>I16+I18</x:f>
        <x:v>487077</x:v>
      </x:c>
      <x:c r="J37" s="39" t="n">
        <x:f>J16+J18</x:f>
        <x:v>-559024</x:v>
      </x:c>
      <x:c r="K37" s="39" t="n">
        <x:f>K16+K18</x:f>
        <x:v>378998</x:v>
      </x:c>
      <x:c r="L37" s="39" t="n">
        <x:f>L16+L18</x:f>
        <x:v>-34639</x:v>
      </x:c>
      <x:c r="M37" s="39" t="n">
        <x:f>M16+M18</x:f>
        <x:v>225284</x:v>
      </x:c>
      <x:c r="N37" s="39" t="n">
        <x:f>N16+N18</x:f>
        <x:v>1795921</x:v>
      </x:c>
      <x:c r="O37" s="39" t="n">
        <x:f>O16+O18</x:f>
        <x:v>-372762</x:v>
      </x:c>
      <x:c r="P37" s="39" t="n">
        <x:f>P16+P18</x:f>
        <x:v>530291</x:v>
      </x:c>
      <x:c r="Q37" s="39" t="n">
        <x:f>Q16+Q18</x:f>
        <x:v>-1980965</x:v>
      </x:c>
      <x:c r="R37" s="39" t="n">
        <x:f>R16+R18</x:f>
        <x:v>197020</x:v>
      </x:c>
      <x:c r="S37" s="39" t="n">
        <x:f>S16+S18</x:f>
        <x:v>-189866</x:v>
      </x:c>
      <x:c r="T37" s="39" t="n">
        <x:f>T16+T18</x:f>
        <x:v>535143</x:v>
      </x:c>
      <x:c r="U37" s="39" t="n">
        <x:f>U16+U18</x:f>
        <x:v>617872</x:v>
      </x:c>
      <x:c r="V37" s="39" t="n">
        <x:f>V16+V18</x:f>
        <x:v>1759357</x:v>
      </x:c>
      <x:c r="W37" s="39" t="n">
        <x:f>W16+W18</x:f>
        <x:v>244632</x:v>
      </x:c>
      <x:c r="X37" s="39" t="n">
        <x:f>X16+X18</x:f>
        <x:v>-219746</x:v>
      </x:c>
      <x:c r="Y37" s="39" t="n">
        <x:f>Y16+Y18</x:f>
        <x:v>7471</x:v>
      </x:c>
      <x:c r="Z37" s="39" t="n">
        <x:f>Z16+Z18</x:f>
        <x:v>1745007</x:v>
      </x:c>
      <x:c r="AA37" s="39" t="n">
        <x:f>AA16+AA18</x:f>
        <x:v>-657242</x:v>
      </x:c>
      <x:c r="AB37" s="39" t="n">
        <x:f>AB16+AB18</x:f>
        <x:v>1174264</x:v>
      </x:c>
      <x:c r="AC37" s="39" t="n">
        <x:f>AC16+AC18</x:f>
        <x:v>146405</x:v>
      </x:c>
      <x:c r="AD37" s="39" t="n">
        <x:f>AD16+AD18</x:f>
        <x:v>240383</x:v>
      </x:c>
      <x:c r="AE37" s="39" t="n">
        <x:f>AE16+AE18</x:f>
        <x:v>-9357</x:v>
      </x:c>
      <x:c r="AF37" s="39" t="n">
        <x:f>AF16+AF18</x:f>
        <x:v>885800</x:v>
      </x:c>
      <x:c r="AG37" s="39" t="n">
        <x:f>AG16+AG18</x:f>
        <x:v>590234</x:v>
      </x:c>
      <x:c r="AH37" s="39" t="n">
        <x:f>AH16+AH18</x:f>
        <x:v>-1028707</x:v>
      </x:c>
      <x:c r="AI37" s="39" t="n">
        <x:f>AI16+AI18</x:f>
        <x:v>505478</x:v>
      </x:c>
      <x:c r="AJ37" s="39" t="n">
        <x:f>AJ16+AJ18</x:f>
        <x:v>68641</x:v>
      </x:c>
      <x:c r="AK37" s="39" t="n">
        <x:f>AK16+AK18</x:f>
        <x:v>368248</x:v>
      </x:c>
    </x:row>
  </x:sheetData>
  <x:mergeCells>
    <x:mergeCell ref="A1:AK1"/>
    <x:mergeCell ref="A2:AK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52" hidden="0" customWidth="1"/>
  </x:cols>
  <x:sheetData>
    <x:row r="1" ht="32" customHeight="1">
      <x:c r="A1" s="3" t="str">
        <x:v>KPIs de caja y salud financiera</x:v>
      </x:c>
      <x:c r="B1" s="3" t="str">
        <x:v>KPIs de caja y salud financiera</x:v>
      </x:c>
      <x:c r="C1" s="3" t="str">
        <x:v>KPIs de caja y salud financiera</x:v>
      </x:c>
      <x:c r="D1" s="3" t="str">
        <x:v>KPIs de caja y salud financiera</x:v>
      </x:c>
      <x:c r="E1" s="3" t="str">
        <x:v>KPIs de caja y salud financiera</x:v>
      </x:c>
      <x:c r="F1" s="3" t="str">
        <x:v>KPIs de caja y salud financiera</x:v>
      </x:c>
      <x:c r="G1" s="3" t="str">
        <x:v>KPIs de caja y salud financiera</x:v>
      </x:c>
      <x:c r="H1" s="3" t="str">
        <x:v>KPIs de caja y salud financiera</x:v>
      </x:c>
      <x:c r="I1" s="3" t="str">
        <x:v>KPIs de caja y salud financiera</x:v>
      </x:c>
      <x:c r="J1" s="3" t="str">
        <x:v>KPIs de caja y salud financiera</x:v>
      </x:c>
      <x:c r="K1" s="3" t="str">
        <x:v>KPIs de caja y salud financiera</x:v>
      </x:c>
      <x:c r="L1" s="3" t="str">
        <x:v>KPIs de caja y salud financiera</x:v>
      </x:c>
      <x:c r="M1" s="3" t="str">
        <x:v>KPIs de caja y salud financiera</x:v>
      </x:c>
      <x:c r="N1" s="3" t="str">
        <x:v>KPIs de caja y salud financiera</x:v>
      </x:c>
      <x:c r="O1" s="3" t="str">
        <x:v>KPIs de caja y salud financiera</x:v>
      </x:c>
      <x:c r="P1" s="3" t="str">
        <x:v>KPIs de caja y salud financiera</x:v>
      </x:c>
      <x:c r="Q1" s="3" t="str">
        <x:v>KPIs de caja y salud financiera</x:v>
      </x:c>
      <x:c r="R1" s="3" t="str">
        <x:v>KPIs de caja y salud financiera</x:v>
      </x:c>
      <x:c r="S1" s="3" t="str">
        <x:v>KPIs de caja y salud financiera</x:v>
      </x:c>
      <x:c r="T1" s="3" t="str">
        <x:v>KPIs de caja y salud financiera</x:v>
      </x:c>
    </x:row>
    <x:row r="2" ht="30" customHeight="1">
      <x:c r="A2" s="7" t="str">
        <x:v>Lectura a diciembre de 2026 con métricas LTM, liquidez, circulante, endeudamiento y calidad del beneficio.</x:v>
      </x:c>
      <x:c r="B2" s="7" t="str">
        <x:v>Lectura a diciembre de 2026 con métricas LTM, liquidez, circulante, endeudamiento y calidad del beneficio.</x:v>
      </x:c>
      <x:c r="C2" s="7" t="str">
        <x:v>Lectura a diciembre de 2026 con métricas LTM, liquidez, circulante, endeudamiento y calidad del beneficio.</x:v>
      </x:c>
      <x:c r="D2" s="7" t="str">
        <x:v>Lectura a diciembre de 2026 con métricas LTM, liquidez, circulante, endeudamiento y calidad del beneficio.</x:v>
      </x:c>
      <x:c r="E2" s="7" t="str">
        <x:v>Lectura a diciembre de 2026 con métricas LTM, liquidez, circulante, endeudamiento y calidad del beneficio.</x:v>
      </x:c>
      <x:c r="F2" s="7" t="str">
        <x:v>Lectura a diciembre de 2026 con métricas LTM, liquidez, circulante, endeudamiento y calidad del beneficio.</x:v>
      </x:c>
      <x:c r="G2" s="7" t="str">
        <x:v>Lectura a diciembre de 2026 con métricas LTM, liquidez, circulante, endeudamiento y calidad del beneficio.</x:v>
      </x:c>
      <x:c r="H2" s="7" t="str">
        <x:v>Lectura a diciembre de 2026 con métricas LTM, liquidez, circulante, endeudamiento y calidad del beneficio.</x:v>
      </x:c>
      <x:c r="I2" s="7" t="str">
        <x:v>Lectura a diciembre de 2026 con métricas LTM, liquidez, circulante, endeudamiento y calidad del beneficio.</x:v>
      </x:c>
      <x:c r="J2" s="7" t="str">
        <x:v>Lectura a diciembre de 2026 con métricas LTM, liquidez, circulante, endeudamiento y calidad del beneficio.</x:v>
      </x:c>
      <x:c r="K2" s="7" t="str">
        <x:v>Lectura a diciembre de 2026 con métricas LTM, liquidez, circulante, endeudamiento y calidad del beneficio.</x:v>
      </x:c>
      <x:c r="L2" s="7" t="str">
        <x:v>Lectura a diciembre de 2026 con métricas LTM, liquidez, circulante, endeudamiento y calidad del beneficio.</x:v>
      </x:c>
      <x:c r="M2" s="7" t="str">
        <x:v>Lectura a diciembre de 2026 con métricas LTM, liquidez, circulante, endeudamiento y calidad del beneficio.</x:v>
      </x:c>
      <x:c r="N2" s="7" t="str">
        <x:v>Lectura a diciembre de 2026 con métricas LTM, liquidez, circulante, endeudamiento y calidad del beneficio.</x:v>
      </x:c>
      <x:c r="O2" s="7" t="str">
        <x:v>Lectura a diciembre de 2026 con métricas LTM, liquidez, circulante, endeudamiento y calidad del beneficio.</x:v>
      </x:c>
      <x:c r="P2" s="7" t="str">
        <x:v>Lectura a diciembre de 2026 con métricas LTM, liquidez, circulante, endeudamiento y calidad del beneficio.</x:v>
      </x:c>
      <x:c r="Q2" s="7" t="str">
        <x:v>Lectura a diciembre de 2026 con métricas LTM, liquidez, circulante, endeudamiento y calidad del beneficio.</x:v>
      </x:c>
      <x:c r="R2" s="7" t="str">
        <x:v>Lectura a diciembre de 2026 con métricas LTM, liquidez, circulante, endeudamiento y calidad del beneficio.</x:v>
      </x:c>
      <x:c r="S2" s="7" t="str">
        <x:v>Lectura a diciembre de 2026 con métricas LTM, liquidez, circulante, endeudamiento y calidad del beneficio.</x:v>
      </x:c>
      <x:c r="T2" s="7" t="str">
        <x:v>Lectura a diciembre de 2026 con métricas LTM, liquidez, circulante, endeudamiento y calidad del beneficio.</x:v>
      </x:c>
    </x:row>
    <x:row r="4" ht="26" customHeight="1">
      <x:c r="A4" s="11" t="str">
        <x:v>KPI</x:v>
      </x:c>
      <x:c r="B4" s="11" t="str">
        <x:v>Valor</x:v>
      </x:c>
      <x:c r="C4" s="11" t="str">
        <x:v>Lectura</x:v>
      </x:c>
    </x:row>
    <x:row r="5">
      <x:c r="A5" s="22" t="str">
        <x:v>Ingresos LTM</x:v>
      </x:c>
      <x:c r="B5" s="44" t="n">
        <x:f>SUM('Financial_Statements'!Z7:AK7)</x:f>
        <x:v>42971983</x:v>
      </x:c>
      <x:c r="C5" s="21" t="str">
        <x:v>Escala de actividad del último ejercicio</x:v>
      </x:c>
    </x:row>
    <x:row r="6">
      <x:c r="A6" s="22" t="str">
        <x:v>EBITDA LTM</x:v>
      </x:c>
      <x:c r="B6" s="44" t="n">
        <x:f>SUM('Financial_Statements'!Z19:AK19)</x:f>
        <x:v>7641579</x:v>
      </x:c>
      <x:c r="C6" s="21" t="str">
        <x:v>Resultado operativo antes de D&amp;A</x:v>
      </x:c>
    </x:row>
    <x:row r="7">
      <x:c r="A7" s="22" t="str">
        <x:v>Margen EBITDA</x:v>
      </x:c>
      <x:c r="B7" s="45" t="n">
        <x:f>IFERROR(B6/B5,0)</x:f>
        <x:v>0.17782700416687774</x:v>
      </x:c>
      <x:c r="C7" s="21" t="str">
        <x:v>Rentabilidad operativa sobre ventas</x:v>
      </x:c>
    </x:row>
    <x:row r="8">
      <x:c r="A8" s="22" t="str">
        <x:v>Resultado neto LTM</x:v>
      </x:c>
      <x:c r="B8" s="44" t="n">
        <x:f>SUM('Financial_Statements'!Z30:AK30)</x:f>
        <x:v>3562167</x:v>
      </x:c>
      <x:c r="C8" s="21" t="str">
        <x:v>Beneficio después de financiación e impuestos</x:v>
      </x:c>
    </x:row>
    <x:row r="9">
      <x:c r="A9" s="22" t="str">
        <x:v>Cash flow operativo LTM</x:v>
      </x:c>
      <x:c r="B9" s="44" t="n">
        <x:f>SUM('Cash_Flow_Model'!Z16:AK16)</x:f>
        <x:v>6174715</x:v>
      </x:c>
      <x:c r="C9" s="21" t="str">
        <x:v>Caja generada por la operación</x:v>
      </x:c>
    </x:row>
    <x:row r="10">
      <x:c r="A10" s="22" t="str">
        <x:v>Free cash flow LTM</x:v>
      </x:c>
      <x:c r="B10" s="44" t="n">
        <x:f>SUM('Cash_Flow_Model'!Z37:AK37)</x:f>
        <x:v>4029154</x:v>
      </x:c>
      <x:c r="C10" s="21" t="str">
        <x:v>Caja disponible tras CAPEX</x:v>
      </x:c>
    </x:row>
    <x:row r="11">
      <x:c r="A11" s="22" t="str">
        <x:v>Conversión CFO / EBITDA</x:v>
      </x:c>
      <x:c r="B11" s="45" t="n">
        <x:f>IFERROR(B9/B6,0)</x:f>
        <x:v>0.8080417672839606</x:v>
      </x:c>
      <x:c r="C11" s="21" t="str">
        <x:v>Capacidad de convertir resultado operativo en caja</x:v>
      </x:c>
    </x:row>
    <x:row r="12">
      <x:c r="A12" s="22" t="str">
        <x:v>Calidad del beneficio CFO / resultado neto</x:v>
      </x:c>
      <x:c r="B12" s="45" t="n">
        <x:f>IFERROR(B9/B8,0)</x:f>
        <x:v>1.7334153620534916</x:v>
      </x:c>
      <x:c r="C12" s="21" t="str">
        <x:v>Contrasta beneficio contable y caja operativa</x:v>
      </x:c>
    </x:row>
    <x:row r="13">
      <x:c r="A13" s="22" t="str">
        <x:v>Efectivo final</x:v>
      </x:c>
      <x:c r="B13" s="44" t="n">
        <x:f>'Financial_Statements'!AK33</x:f>
        <x:v>8049522</x:v>
      </x:c>
      <x:c r="C13" s="21" t="str">
        <x:v>Liquidez disponible al cierre</x:v>
      </x:c>
    </x:row>
    <x:row r="14">
      <x:c r="A14" s="22" t="str">
        <x:v>Current ratio</x:v>
      </x:c>
      <x:c r="B14" s="46" t="n">
        <x:f>IFERROR('Financial_Statements'!AK37/'Financial_Statements'!AK47,0)</x:f>
        <x:v>2.95019429194634</x:v>
      </x:c>
      <x:c r="C14" s="21" t="str">
        <x:v>Cobertura de pasivos corrientes</x:v>
      </x:c>
    </x:row>
    <x:row r="15">
      <x:c r="A15" s="22" t="str">
        <x:v>Quick ratio</x:v>
      </x:c>
      <x:c r="B15" s="46" t="n">
        <x:f>IFERROR(('Financial_Statements'!AK33+'Financial_Statements'!AK34)/'Financial_Statements'!AK47,0)</x:f>
        <x:v>2.226793701946825</x:v>
      </x:c>
      <x:c r="C15" s="21" t="str">
        <x:v>Liquidez sin depender de existencias</x:v>
      </x:c>
    </x:row>
    <x:row r="16">
      <x:c r="A16" s="22" t="str">
        <x:v>Capital circulante neto</x:v>
      </x:c>
      <x:c r="B16" s="44" t="n">
        <x:f>'Financial_Statements'!AK37-'Financial_Statements'!AK47</x:f>
        <x:v>13482795</x:v>
      </x:c>
      <x:c r="C16" s="21" t="str">
        <x:v>Colchón operativo de corto plazo</x:v>
      </x:c>
    </x:row>
    <x:row r="17">
      <x:c r="A17" s="22" t="str">
        <x:v>DSO</x:v>
      </x:c>
      <x:c r="B17" s="47" t="n">
        <x:f>IFERROR(AVERAGE('Financial_Statements'!Y34:AK34)/SUM('Financial_Statements'!Z7:AK7)*365,0)</x:f>
        <x:v>53.259354813004194</x:v>
      </x:c>
      <x:c r="C17" s="21" t="str">
        <x:v>Días medios de cobro</x:v>
      </x:c>
    </x:row>
    <x:row r="18">
      <x:c r="A18" s="22" t="str">
        <x:v>DIO</x:v>
      </x:c>
      <x:c r="B18" s="47" t="n">
        <x:f>IFERROR(AVERAGE('Financial_Statements'!Y35:AK35)/ABS(SUM('Financial_Statements'!Z11:AK11))*365,0)</x:f>
        <x:v>50.493545351300654</x:v>
      </x:c>
      <x:c r="C18" s="21" t="str">
        <x:v>Días medios de inventario</x:v>
      </x:c>
    </x:row>
    <x:row r="19">
      <x:c r="A19" s="22" t="str">
        <x:v>DPO</x:v>
      </x:c>
      <x:c r="B19" s="47" t="n">
        <x:f>IFERROR(AVERAGE('Financial_Statements'!Y42:AK42)/ABS(SUM('Financial_Statements'!Z11:AK11))*365,0)</x:f>
        <x:v>51.14685236732491</x:v>
      </x:c>
      <x:c r="C19" s="21" t="str">
        <x:v>Días medios de pago</x:v>
      </x:c>
    </x:row>
    <x:row r="20">
      <x:c r="A20" s="22" t="str">
        <x:v>Cash Conversion Cycle</x:v>
      </x:c>
      <x:c r="B20" s="47" t="n">
        <x:f>B17+B18-B19</x:f>
        <x:v>52.60604779697994</x:v>
      </x:c>
      <x:c r="C20" s="21" t="str">
        <x:v>Días que la operación mantiene caja inmovilizada</x:v>
      </x:c>
    </x:row>
    <x:row r="21">
      <x:c r="A21" s="22" t="str">
        <x:v>Deuda neta</x:v>
      </x:c>
      <x:c r="B21" s="44" t="n">
        <x:f>'Financial_Statements'!AK45+'Financial_Statements'!AK46+'Financial_Statements'!AK48+'Financial_Statements'!AK49-'Financial_Statements'!AK33</x:f>
        <x:v>-2599522</x:v>
      </x:c>
      <x:c r="C21" s="21" t="str">
        <x:v>Deuda financiera menos efectivo</x:v>
      </x:c>
    </x:row>
    <x:row r="22">
      <x:c r="A22" s="22" t="str">
        <x:v>Deuda neta / EBITDA</x:v>
      </x:c>
      <x:c r="B22" s="46" t="n">
        <x:f>IFERROR(B21/B6,0)</x:f>
        <x:v>-0.34018126358439793</x:v>
      </x:c>
      <x:c r="C22" s="21" t="str">
        <x:v>Apalancamiento frente a generación operativa</x:v>
      </x:c>
    </x:row>
    <x:row r="23">
      <x:c r="A23" s="22" t="str">
        <x:v>Cobertura de intereses</x:v>
      </x:c>
      <x:c r="B23" s="46" t="n">
        <x:f>IFERROR(SUM('Financial_Statements'!Z25:AK25)/ABS(SUM('Financial_Statements'!Z26:AK26)),0)</x:f>
        <x:v>11.788805815160956</x:v>
      </x:c>
      <x:c r="C23" s="21" t="str">
        <x:v>Capacidad operativa para pagar intereses</x:v>
      </x:c>
    </x:row>
    <x:row r="24">
      <x:c r="A24" s="22" t="str">
        <x:v>ROA</x:v>
      </x:c>
      <x:c r="B24" s="45" t="n">
        <x:f>IFERROR(B8/AVERAGE('Financial_Statements'!Y41,'Financial_Statements'!AK41),0)</x:f>
        <x:v>0.12362860715840977</x:v>
      </x:c>
      <x:c r="C24" s="21" t="str">
        <x:v>Rentabilidad sobre activos</x:v>
      </x:c>
    </x:row>
    <x:row r="25">
      <x:c r="A25" s="22" t="str">
        <x:v>ROE</x:v>
      </x:c>
      <x:c r="B25" s="45" t="n">
        <x:f>IFERROR(B8/AVERAGE('Financial_Statements'!Y54,'Financial_Statements'!AK54),0)</x:f>
        <x:v>0.21474980454433773</x:v>
      </x:c>
      <x:c r="C25" s="21" t="str">
        <x:v>Rentabilidad sobre patrimonio</x:v>
      </x:c>
    </x:row>
    <x:row r="26">
      <x:c r="A26" s="22" t="str">
        <x:v>CAPEX / ingresos</x:v>
      </x:c>
      <x:c r="B26" s="45" t="n">
        <x:f>IFERROR(-SUM('Cash_Flow_Model'!Z18:AK18)/B5,0)</x:f>
        <x:v>0.049929299283209716</x:v>
      </x:c>
      <x:c r="C26" s="21" t="str">
        <x:v>Intensidad inversora del negocio</x:v>
      </x:c>
    </x:row>
    <x:row r="30" ht="26" customHeight="1">
      <x:c r="A30" s="11" t="str">
        <x:v>Periodo</x:v>
      </x:c>
      <x:c r="B30" s="11" t="str">
        <x:v>CFO</x:v>
      </x:c>
      <x:c r="C30" s="11" t="str">
        <x:v>Free Cash Flow</x:v>
      </x:c>
      <x:c r="D30" s="11" t="str">
        <x:v>Efectivo final</x:v>
      </x:c>
      <x:c r="E30" s="14"/>
      <x:c r="F30" s="11" t="str">
        <x:v>Periodo</x:v>
      </x:c>
      <x:c r="G30" s="11" t="str">
        <x:v>DSO</x:v>
      </x:c>
      <x:c r="H30" s="11" t="str">
        <x:v>DIO</x:v>
      </x:c>
      <x:c r="I30" s="11" t="str">
        <x:v>DPO</x:v>
      </x:c>
      <x:c r="J30" s="11" t="str">
        <x:v>CCC</x:v>
      </x:c>
    </x:row>
    <x:row r="31">
      <x:c r="A31" s="14" t="str">
        <x:f>'Cash_Flow_Model'!Z$3</x:f>
        <x:v>2026-01</x:v>
      </x:c>
      <x:c r="B31" s="28" t="n">
        <x:f>'Cash_Flow_Model'!Z$16</x:f>
        <x:v>1909741</x:v>
      </x:c>
      <x:c r="C31" s="28" t="n">
        <x:f>'Cash_Flow_Model'!Z$37</x:f>
        <x:v>1745007</x:v>
      </x:c>
      <x:c r="D31" s="28" t="n">
        <x:f>'Financial_Statements'!Z$33</x:f>
        <x:v>7325375</x:v>
      </x:c>
      <x:c r="E31" s="14"/>
      <x:c r="F31" s="14" t="str">
        <x:f>'Financial_Statements'!Z$3</x:f>
        <x:v>2026-01</x:v>
      </x:c>
      <x:c r="G31" s="48" t="n">
        <x:f>IFERROR('Financial_Statements'!Z$34/'Financial_Statements'!Z$7*31,0)</x:f>
        <x:v>54.44116998901482</x:v>
      </x:c>
      <x:c r="H31" s="48" t="n">
        <x:f>IFERROR('Financial_Statements'!Z$35/ABS('Financial_Statements'!Z$11)*31,0)</x:f>
        <x:v>52.26248973560704</x:v>
      </x:c>
      <x:c r="I31" s="48" t="n">
        <x:f>IFERROR('Financial_Statements'!Z$42/ABS('Financial_Statements'!Z$11)*31,0)</x:f>
        <x:v>48.48638924803446</x:v>
      </x:c>
      <x:c r="J31" s="48" t="n">
        <x:f>G31+H31-I31</x:f>
        <x:v>58.217270476587395</x:v>
      </x:c>
    </x:row>
    <x:row r="32">
      <x:c r="A32" s="14" t="str">
        <x:f>'Cash_Flow_Model'!AA$3</x:f>
        <x:v>2026-02</x:v>
      </x:c>
      <x:c r="B32" s="28" t="n">
        <x:f>'Cash_Flow_Model'!AA$16</x:f>
        <x:v>-495060</x:v>
      </x:c>
      <x:c r="C32" s="28" t="n">
        <x:f>'Cash_Flow_Model'!AA$37</x:f>
        <x:v>-657242</x:v>
      </x:c>
      <x:c r="D32" s="28" t="n">
        <x:f>'Financial_Statements'!AA$33</x:f>
        <x:v>6628133</x:v>
      </x:c>
      <x:c r="E32" s="14"/>
      <x:c r="F32" s="14" t="str">
        <x:f>'Financial_Statements'!AA$3</x:f>
        <x:v>2026-02</x:v>
      </x:c>
      <x:c r="G32" s="48" t="n">
        <x:f>IFERROR('Financial_Statements'!AA$34/'Financial_Statements'!AA$7*28,0)</x:f>
        <x:v>54.933642855991366</x:v>
      </x:c>
      <x:c r="H32" s="48" t="n">
        <x:f>IFERROR('Financial_Statements'!AA$35/ABS('Financial_Statements'!AA$11)*28,0)</x:f>
        <x:v>52.85098169225224</x:v>
      </x:c>
      <x:c r="I32" s="48" t="n">
        <x:f>IFERROR('Financial_Statements'!AA$42/ABS('Financial_Statements'!AA$11)*28,0)</x:f>
        <x:v>48.290500998054235</x:v>
      </x:c>
      <x:c r="J32" s="48" t="n">
        <x:f>G32+H32-I32</x:f>
        <x:v>59.49412355018938</x:v>
      </x:c>
    </x:row>
    <x:row r="33">
      <x:c r="A33" s="14" t="str">
        <x:f>'Cash_Flow_Model'!AB$3</x:f>
        <x:v>2026-03</x:v>
      </x:c>
      <x:c r="B33" s="28" t="n">
        <x:f>'Cash_Flow_Model'!AB$16</x:f>
        <x:v>1331453</x:v>
      </x:c>
      <x:c r="C33" s="28" t="n">
        <x:f>'Cash_Flow_Model'!AB$37</x:f>
        <x:v>1174264</x:v>
      </x:c>
      <x:c r="D33" s="28" t="n">
        <x:f>'Financial_Statements'!AB$33</x:f>
        <x:v>7607397</x:v>
      </x:c>
      <x:c r="E33" s="14"/>
      <x:c r="F33" s="14" t="str">
        <x:f>'Financial_Statements'!AB$3</x:f>
        <x:v>2026-03</x:v>
      </x:c>
      <x:c r="G33" s="48" t="n">
        <x:f>IFERROR('Financial_Statements'!AB$34/'Financial_Statements'!AB$7*31,0)</x:f>
        <x:v>51.4302355742544</x:v>
      </x:c>
      <x:c r="H33" s="48" t="n">
        <x:f>IFERROR('Financial_Statements'!AB$35/ABS('Financial_Statements'!AB$11)*31,0)</x:f>
        <x:v>48.405550608489165</x:v>
      </x:c>
      <x:c r="I33" s="48" t="n">
        <x:f>IFERROR('Financial_Statements'!AB$42/ABS('Financial_Statements'!AB$11)*31,0)</x:f>
        <x:v>51.14197091124963</x:v>
      </x:c>
      <x:c r="J33" s="48" t="n">
        <x:f>G33+H33-I33</x:f>
        <x:v>48.69381527149393</x:v>
      </x:c>
    </x:row>
    <x:row r="34">
      <x:c r="A34" s="14" t="str">
        <x:f>'Cash_Flow_Model'!AC$3</x:f>
        <x:v>2026-04</x:v>
      </x:c>
      <x:c r="B34" s="28" t="n">
        <x:f>'Cash_Flow_Model'!AC$16</x:f>
        <x:v>296708</x:v>
      </x:c>
      <x:c r="C34" s="28" t="n">
        <x:f>'Cash_Flow_Model'!AC$37</x:f>
        <x:v>146405</x:v>
      </x:c>
      <x:c r="D34" s="28" t="n">
        <x:f>'Financial_Statements'!AC$33</x:f>
        <x:v>7713802</x:v>
      </x:c>
      <x:c r="E34" s="14"/>
      <x:c r="F34" s="14" t="str">
        <x:f>'Financial_Statements'!AC$3</x:f>
        <x:v>2026-04</x:v>
      </x:c>
      <x:c r="G34" s="48" t="n">
        <x:f>IFERROR('Financial_Statements'!AC$34/'Financial_Statements'!AC$7*30,0)</x:f>
        <x:v>51.90008566443182</x:v>
      </x:c>
      <x:c r="H34" s="48" t="n">
        <x:f>IFERROR('Financial_Statements'!AC$35/ABS('Financial_Statements'!AC$11)*30,0)</x:f>
        <x:v>48.90407331500888</x:v>
      </x:c>
      <x:c r="I34" s="48" t="n">
        <x:f>IFERROR('Financial_Statements'!AC$42/ABS('Financial_Statements'!AC$11)*30,0)</x:f>
        <x:v>51.044940204193864</x:v>
      </x:c>
      <x:c r="J34" s="48" t="n">
        <x:f>G34+H34-I34</x:f>
        <x:v>49.759218775246836</x:v>
      </x:c>
    </x:row>
    <x:row r="35">
      <x:c r="A35" s="14" t="str">
        <x:f>'Cash_Flow_Model'!AD$3</x:f>
        <x:v>2026-05</x:v>
      </x:c>
      <x:c r="B35" s="28" t="n">
        <x:f>'Cash_Flow_Model'!AD$16</x:f>
        <x:v>382666</x:v>
      </x:c>
      <x:c r="C35" s="28" t="n">
        <x:f>'Cash_Flow_Model'!AD$37</x:f>
        <x:v>240383</x:v>
      </x:c>
      <x:c r="D35" s="28" t="n">
        <x:f>'Financial_Statements'!AD$33</x:f>
        <x:v>7914185</x:v>
      </x:c>
      <x:c r="E35" s="14"/>
      <x:c r="F35" s="14" t="str">
        <x:f>'Financial_Statements'!AD$3</x:f>
        <x:v>2026-05</x:v>
      </x:c>
      <x:c r="G35" s="48" t="n">
        <x:f>IFERROR('Financial_Statements'!AD$34/'Financial_Statements'!AD$7*31,0)</x:f>
        <x:v>52.31396889201975</x:v>
      </x:c>
      <x:c r="H35" s="48" t="n">
        <x:f>IFERROR('Financial_Statements'!AD$35/ABS('Financial_Statements'!AD$11)*31,0)</x:f>
        <x:v>49.32669609178666</x:v>
      </x:c>
      <x:c r="I35" s="48" t="n">
        <x:f>IFERROR('Financial_Statements'!AD$42/ABS('Financial_Statements'!AD$11)*31,0)</x:f>
        <x:v>51.002089809182266</x:v>
      </x:c>
      <x:c r="J35" s="48" t="n">
        <x:f>G35+H35-I35</x:f>
        <x:v>50.63857517462414</x:v>
      </x:c>
    </x:row>
    <x:row r="36">
      <x:c r="A36" s="14" t="str">
        <x:f>'Cash_Flow_Model'!AE$3</x:f>
        <x:v>2026-06</x:v>
      </x:c>
      <x:c r="B36" s="28" t="n">
        <x:f>'Cash_Flow_Model'!AE$16</x:f>
        <x:v>124655</x:v>
      </x:c>
      <x:c r="C36" s="28" t="n">
        <x:f>'Cash_Flow_Model'!AE$37</x:f>
        <x:v>-9357</x:v>
      </x:c>
      <x:c r="D36" s="28" t="n">
        <x:f>'Financial_Statements'!AE$33</x:f>
        <x:v>7709828</x:v>
      </x:c>
      <x:c r="E36" s="14"/>
      <x:c r="F36" s="14" t="str">
        <x:f>'Financial_Statements'!AE$3</x:f>
        <x:v>2026-06</x:v>
      </x:c>
      <x:c r="G36" s="48" t="n">
        <x:f>IFERROR('Financial_Statements'!AE$34/'Financial_Statements'!AE$7*30,0)</x:f>
        <x:v>52.64616227582475</x:v>
      </x:c>
      <x:c r="H36" s="48" t="n">
        <x:f>IFERROR('Financial_Statements'!AE$35/ABS('Financial_Statements'!AE$11)*30,0)</x:f>
        <x:v>49.65655942454348</x:v>
      </x:c>
      <x:c r="I36" s="48" t="n">
        <x:f>IFERROR('Financial_Statements'!AE$42/ABS('Financial_Statements'!AE$11)*30,0)</x:f>
        <x:v>51.01460609875501</x:v>
      </x:c>
      <x:c r="J36" s="48" t="n">
        <x:f>G36+H36-I36</x:f>
        <x:v>51.28811560161323</x:v>
      </x:c>
    </x:row>
    <x:row r="37">
      <x:c r="A37" s="14" t="str">
        <x:f>'Cash_Flow_Model'!AF$3</x:f>
        <x:v>2026-07</x:v>
      </x:c>
      <x:c r="B37" s="28" t="n">
        <x:f>'Cash_Flow_Model'!AF$16</x:f>
        <x:v>1012199</x:v>
      </x:c>
      <x:c r="C37" s="28" t="n">
        <x:f>'Cash_Flow_Model'!AF$37</x:f>
        <x:v>885800</x:v>
      </x:c>
      <x:c r="D37" s="28" t="n">
        <x:f>'Financial_Statements'!AF$33</x:f>
        <x:v>8555628</x:v>
      </x:c>
      <x:c r="E37" s="14"/>
      <x:c r="F37" s="14" t="str">
        <x:f>'Financial_Statements'!AF$3</x:f>
        <x:v>2026-07</x:v>
      </x:c>
      <x:c r="G37" s="48" t="n">
        <x:f>IFERROR('Financial_Statements'!AF$34/'Financial_Statements'!AF$7*31,0)</x:f>
        <x:v>52.87600206897535</x:v>
      </x:c>
      <x:c r="H37" s="48" t="n">
        <x:f>IFERROR('Financial_Statements'!AF$35/ABS('Financial_Statements'!AF$11)*31,0)</x:f>
        <x:v>49.88050499394412</x:v>
      </x:c>
      <x:c r="I37" s="48" t="n">
        <x:f>IFERROR('Financial_Statements'!AF$42/ABS('Financial_Statements'!AF$11)*31,0)</x:f>
        <x:v>51.08214489221517</x:v>
      </x:c>
      <x:c r="J37" s="48" t="n">
        <x:f>G37+H37-I37</x:f>
        <x:v>51.6743621707043</x:v>
      </x:c>
    </x:row>
    <x:row r="38">
      <x:c r="A38" s="14" t="str">
        <x:f>'Cash_Flow_Model'!AG$3</x:f>
        <x:v>2026-08</x:v>
      </x:c>
      <x:c r="B38" s="28" t="n">
        <x:f>'Cash_Flow_Model'!AG$16</x:f>
        <x:v>710519</x:v>
      </x:c>
      <x:c r="C38" s="28" t="n">
        <x:f>'Cash_Flow_Model'!AG$37</x:f>
        <x:v>590234</x:v>
      </x:c>
      <x:c r="D38" s="28" t="n">
        <x:f>'Financial_Statements'!AG$33</x:f>
        <x:v>9105862</x:v>
      </x:c>
      <x:c r="E38" s="14"/>
      <x:c r="F38" s="14" t="str">
        <x:f>'Financial_Statements'!AG$3</x:f>
        <x:v>2026-08</x:v>
      </x:c>
      <x:c r="G38" s="48" t="n">
        <x:f>IFERROR('Financial_Statements'!AG$34/'Financial_Statements'!AG$7*31,0)</x:f>
        <x:v>52.98919571529379</x:v>
      </x:c>
      <x:c r="H38" s="48" t="n">
        <x:f>IFERROR('Financial_Statements'!AG$35/ABS('Financial_Statements'!AG$11)*31,0)</x:f>
        <x:v>49.98961934492881</x:v>
      </x:c>
      <x:c r="I38" s="48" t="n">
        <x:f>IFERROR('Financial_Statements'!AG$42/ABS('Financial_Statements'!AG$11)*31,0)</x:f>
        <x:v>51.20284404486381</x:v>
      </x:c>
      <x:c r="J38" s="48" t="n">
        <x:f>G38+H38-I38</x:f>
        <x:v>51.77597101535879</x:v>
      </x:c>
    </x:row>
    <x:row r="39">
      <x:c r="A39" s="14" t="str">
        <x:f>'Cash_Flow_Model'!AH$3</x:f>
        <x:v>2026-09</x:v>
      </x:c>
      <x:c r="B39" s="28" t="n">
        <x:f>'Cash_Flow_Model'!AH$16</x:f>
        <x:v>-392367</x:v>
      </x:c>
      <x:c r="C39" s="28" t="n">
        <x:f>'Cash_Flow_Model'!AH$37</x:f>
        <x:v>-1028707</x:v>
      </x:c>
      <x:c r="D39" s="28" t="n">
        <x:f>'Financial_Statements'!AH$33</x:f>
        <x:v>7882155</x:v>
      </x:c>
      <x:c r="E39" s="14"/>
      <x:c r="F39" s="14" t="str">
        <x:f>'Financial_Statements'!AH$3</x:f>
        <x:v>2026-09</x:v>
      </x:c>
      <x:c r="G39" s="48" t="n">
        <x:f>IFERROR('Financial_Statements'!AH$34/'Financial_Statements'!AH$7*30,0)</x:f>
        <x:v>52.978717627307326</x:v>
      </x:c>
      <x:c r="H39" s="48" t="n">
        <x:f>IFERROR('Financial_Statements'!AH$35/ABS('Financial_Statements'!AH$11)*30,0)</x:f>
        <x:v>49.979548275409336</x:v>
      </x:c>
      <x:c r="I39" s="48" t="n">
        <x:f>IFERROR('Financial_Statements'!AH$42/ABS('Financial_Statements'!AH$11)*30,0)</x:f>
        <x:v>51.373338043591545</x:v>
      </x:c>
      <x:c r="J39" s="48" t="n">
        <x:f>G39+H39-I39</x:f>
        <x:v>51.584927859125116</x:v>
      </x:c>
    </x:row>
    <x:row r="40">
      <x:c r="A40" s="14" t="str">
        <x:f>'Cash_Flow_Model'!AI$3</x:f>
        <x:v>2026-10</x:v>
      </x:c>
      <x:c r="B40" s="28" t="n">
        <x:f>'Cash_Flow_Model'!AI$16</x:f>
        <x:v>620478</x:v>
      </x:c>
      <x:c r="C40" s="28" t="n">
        <x:f>'Cash_Flow_Model'!AI$37</x:f>
        <x:v>505478</x:v>
      </x:c>
      <x:c r="D40" s="28" t="n">
        <x:f>'Financial_Statements'!AI$33</x:f>
        <x:v>8347633</x:v>
      </x:c>
      <x:c r="E40" s="14"/>
      <x:c r="F40" s="14" t="str">
        <x:f>'Financial_Statements'!AI$3</x:f>
        <x:v>2026-10</x:v>
      </x:c>
      <x:c r="G40" s="48" t="n">
        <x:f>IFERROR('Financial_Statements'!AI$34/'Financial_Statements'!AI$7*31,0)</x:f>
        <x:v>52.845205346468006</x:v>
      </x:c>
      <x:c r="H40" s="48" t="n">
        <x:f>IFERROR('Financial_Statements'!AI$35/ABS('Financial_Statements'!AI$11)*31,0)</x:f>
        <x:v>49.85069588865083</x:v>
      </x:c>
      <x:c r="I40" s="48" t="n">
        <x:f>IFERROR('Financial_Statements'!AI$42/ABS('Financial_Statements'!AI$11)*31,0)</x:f>
        <x:v>51.58892007526046</x:v>
      </x:c>
      <x:c r="J40" s="48" t="n">
        <x:f>G40+H40-I40</x:f>
        <x:v>51.10698115985838</x:v>
      </x:c>
    </x:row>
    <x:row r="41">
      <x:c r="A41" s="14" t="str">
        <x:f>'Cash_Flow_Model'!AJ$3</x:f>
        <x:v>2026-11</x:v>
      </x:c>
      <x:c r="B41" s="28" t="n">
        <x:f>'Cash_Flow_Model'!AJ$16</x:f>
        <x:v>185054</x:v>
      </x:c>
      <x:c r="C41" s="28" t="n">
        <x:f>'Cash_Flow_Model'!AJ$37</x:f>
        <x:v>68641</x:v>
      </x:c>
      <x:c r="D41" s="28" t="n">
        <x:f>'Financial_Statements'!AJ$33</x:f>
        <x:v>8376274</x:v>
      </x:c>
      <x:c r="E41" s="14"/>
      <x:c r="F41" s="14" t="str">
        <x:f>'Financial_Statements'!AJ$3</x:f>
        <x:v>2026-11</x:v>
      </x:c>
      <x:c r="G41" s="48" t="n">
        <x:f>IFERROR('Financial_Statements'!AJ$34/'Financial_Statements'!AJ$7*30,0)</x:f>
        <x:v>52.59697741523517</x:v>
      </x:c>
      <x:c r="H41" s="48" t="n">
        <x:f>IFERROR('Financial_Statements'!AJ$35/ABS('Financial_Statements'!AJ$11)*30,0)</x:f>
        <x:v>49.60819144699567</x:v>
      </x:c>
      <x:c r="I41" s="48" t="n">
        <x:f>IFERROR('Financial_Statements'!AJ$42/ABS('Financial_Statements'!AJ$11)*30,0)</x:f>
        <x:v>51.843603211553756</x:v>
      </x:c>
      <x:c r="J41" s="48" t="n">
        <x:f>G41+H41-I41</x:f>
        <x:v>50.36156565067708</x:v>
      </x:c>
    </x:row>
    <x:row r="42">
      <x:c r="A42" s="14" t="str">
        <x:f>'Cash_Flow_Model'!AK$3</x:f>
        <x:v>2026-12</x:v>
      </x:c>
      <x:c r="B42" s="28" t="n">
        <x:f>'Cash_Flow_Model'!AK$16</x:f>
        <x:v>488669</x:v>
      </x:c>
      <x:c r="C42" s="28" t="n">
        <x:f>'Cash_Flow_Model'!AK$37</x:f>
        <x:v>368248</x:v>
      </x:c>
      <x:c r="D42" s="28" t="n">
        <x:f>'Financial_Statements'!AK$33</x:f>
        <x:v>8049522</x:v>
      </x:c>
      <x:c r="E42" s="14"/>
      <x:c r="F42" s="14" t="str">
        <x:f>'Financial_Statements'!AK$3</x:f>
        <x:v>2026-12</x:v>
      </x:c>
      <x:c r="G42" s="48" t="n">
        <x:f>IFERROR('Financial_Statements'!AK$34/'Financial_Statements'!AK$7*31,0)</x:f>
        <x:v>52.2494471313471</x:v>
      </x:c>
      <x:c r="H42" s="48" t="n">
        <x:f>IFERROR('Financial_Statements'!AK$35/ABS('Financial_Statements'!AK$11)*31,0)</x:f>
        <x:v>49.26170748544038</x:v>
      </x:c>
      <x:c r="I42" s="48" t="n">
        <x:f>IFERROR('Financial_Statements'!AK$42/ABS('Financial_Statements'!AK$11)*31,0)</x:f>
        <x:v>52.13033397178498</x:v>
      </x:c>
      <x:c r="J42" s="48" t="n">
        <x:f>G42+H42-I42</x:f>
        <x:v>49.3808206450025</x:v>
      </x:c>
    </x:row>
  </x:sheetData>
  <x:mergeCells>
    <x:mergeCell ref="A1:T1"/>
    <x:mergeCell ref="A2:T2"/>
  </x:mergeCells>
  <x:pageMargins left="0.7" right="0.7" top="0.75" bottom="0.75" header="0.3" footer="0.3"/>
  <x:drawing xmlns:r="http://schemas.openxmlformats.org/officeDocument/2006/relationships" r:id="Rc9d1cc268ba348e2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42" hidden="0" customWidth="1"/>
    <x:col min="4" max="4" width="42" hidden="0" customWidth="1"/>
    <x:col min="5" max="5" width="11.220000267028809" hidden="0" customWidth="1"/>
    <x:col min="6" max="6" width="6" hidden="0" customWidth="1"/>
    <x:col min="7" max="7" width="38" hidden="0" customWidth="1"/>
  </x:cols>
  <x:sheetData>
    <x:row r="1" ht="32" customHeight="1">
      <x:c r="A1" s="3" t="str">
        <x:v>Catálogo de KPIs</x:v>
      </x:c>
      <x:c r="B1" s="3" t="str">
        <x:v>Catálogo de KPIs</x:v>
      </x:c>
      <x:c r="C1" s="3" t="str">
        <x:v>Catálogo de KPIs</x:v>
      </x:c>
      <x:c r="D1" s="3" t="str">
        <x:v>Catálogo de KPIs</x:v>
      </x:c>
      <x:c r="E1" s="3" t="str">
        <x:v>Catálogo de KPIs</x:v>
      </x:c>
      <x:c r="F1" s="3" t="str">
        <x:v>Catálogo de KPIs</x:v>
      </x:c>
      <x:c r="G1" s="3" t="str">
        <x:v>Catálogo de KPIs</x:v>
      </x:c>
    </x:row>
    <x:row r="2" ht="30" customHeight="1">
      <x:c r="A2" s="7" t="str">
        <x:v>Definiciones y fórmulas para documentar el caso antes de diseñar el dashboard del portfolio.</x:v>
      </x:c>
      <x:c r="B2" s="7" t="str">
        <x:v>Definiciones y fórmulas para documentar el caso antes de diseñar el dashboard del portfolio.</x:v>
      </x:c>
      <x:c r="C2" s="7" t="str">
        <x:v>Definiciones y fórmulas para documentar el caso antes de diseñar el dashboard del portfolio.</x:v>
      </x:c>
      <x:c r="D2" s="7" t="str">
        <x:v>Definiciones y fórmulas para documentar el caso antes de diseñar el dashboard del portfolio.</x:v>
      </x:c>
      <x:c r="E2" s="7" t="str">
        <x:v>Definiciones y fórmulas para documentar el caso antes de diseñar el dashboard del portfolio.</x:v>
      </x:c>
      <x:c r="F2" s="7" t="str">
        <x:v>Definiciones y fórmulas para documentar el caso antes de diseñar el dashboard del portfolio.</x:v>
      </x:c>
      <x:c r="G2" s="7" t="str">
        <x:v>Definiciones y fórmulas para documentar el caso antes de diseñar el dashboard del portfolio.</x:v>
      </x:c>
    </x:row>
    <x:row r="4" ht="26" customHeight="1">
      <x:c r="A4" s="11" t="str">
        <x:v>Bloque</x:v>
      </x:c>
      <x:c r="B4" s="11" t="str">
        <x:v>KPI</x:v>
      </x:c>
      <x:c r="C4" s="11" t="str">
        <x:v>Fórmula</x:v>
      </x:c>
      <x:c r="D4" s="11" t="str">
        <x:v>Qué responde</x:v>
      </x:c>
      <x:c r="E4" s="11" t="str">
        <x:v>Frecuencia</x:v>
      </x:c>
      <x:c r="F4" s="11" t="str">
        <x:v>Unidad</x:v>
      </x:c>
      <x:c r="G4" s="11" t="str">
        <x:v>Criterio de lectura</x:v>
      </x:c>
    </x:row>
    <x:row r="5">
      <x:c r="A5" s="21" t="str">
        <x:v>Rentabilidad</x:v>
      </x:c>
      <x:c r="B5" s="21" t="str">
        <x:v>Crecimiento de ingresos</x:v>
      </x:c>
      <x:c r="C5" s="21" t="str">
        <x:v>Ingresos periodo / ingresos comparables - 1</x:v>
      </x:c>
      <x:c r="D5" s="21" t="str">
        <x:v>¿Crece la actividad?</x:v>
      </x:c>
      <x:c r="E5" s="21" t="str">
        <x:v>Mensual / LTM</x:v>
      </x:c>
      <x:c r="F5" s="21" t="str">
        <x:v>%</x:v>
      </x:c>
      <x:c r="G5" s="21" t="str">
        <x:v>Comparar con margen y caja</x:v>
      </x:c>
    </x:row>
    <x:row r="6">
      <x:c r="A6" s="21" t="str">
        <x:v>Rentabilidad</x:v>
      </x:c>
      <x:c r="B6" s="21" t="str">
        <x:v>Margen bruto</x:v>
      </x:c>
      <x:c r="C6" s="21" t="str">
        <x:v>Beneficio bruto / ingresos</x:v>
      </x:c>
      <x:c r="D6" s="21" t="str">
        <x:v>¿La venta cubre costes directos?</x:v>
      </x:c>
      <x:c r="E6" s="21" t="str">
        <x:v>Mensual / LTM</x:v>
      </x:c>
      <x:c r="F6" s="21" t="str">
        <x:v>%</x:v>
      </x:c>
      <x:c r="G6" s="21" t="str">
        <x:v>Analizar precio, volumen y coste</x:v>
      </x:c>
    </x:row>
    <x:row r="7">
      <x:c r="A7" s="21" t="str">
        <x:v>Rentabilidad</x:v>
      </x:c>
      <x:c r="B7" s="21" t="str">
        <x:v>EBITDA y margen EBITDA</x:v>
      </x:c>
      <x:c r="C7" s="21" t="str">
        <x:v>EBITDA / ingresos</x:v>
      </x:c>
      <x:c r="D7" s="21" t="str">
        <x:v>¿Qué rendimiento genera la operación?</x:v>
      </x:c>
      <x:c r="E7" s="21" t="str">
        <x:v>Mensual / LTM</x:v>
      </x:c>
      <x:c r="F7" s="21" t="str">
        <x:v>€ / %</x:v>
      </x:c>
      <x:c r="G7" s="21" t="str">
        <x:v>No equivale a caja</x:v>
      </x:c>
    </x:row>
    <x:row r="8">
      <x:c r="A8" s="21" t="str">
        <x:v>Rentabilidad</x:v>
      </x:c>
      <x:c r="B8" s="21" t="str">
        <x:v>Resultado neto y margen neto</x:v>
      </x:c>
      <x:c r="C8" s="21" t="str">
        <x:v>Resultado neto / ingresos</x:v>
      </x:c>
      <x:c r="D8" s="21" t="str">
        <x:v>¿Qué beneficio queda al accionista?</x:v>
      </x:c>
      <x:c r="E8" s="21" t="str">
        <x:v>Mensual / LTM</x:v>
      </x:c>
      <x:c r="F8" s="21" t="str">
        <x:v>€ / %</x:v>
      </x:c>
      <x:c r="G8" s="21" t="str">
        <x:v>Contrastar con CFO</x:v>
      </x:c>
    </x:row>
    <x:row r="9">
      <x:c r="A9" s="21" t="str">
        <x:v>Caja</x:v>
      </x:c>
      <x:c r="B9" s="21" t="str">
        <x:v>Cash flow operativo</x:v>
      </x:c>
      <x:c r="C9" s="21" t="str">
        <x:v>Resultado neto + no monetarios ± capital circulante</x:v>
      </x:c>
      <x:c r="D9" s="21" t="str">
        <x:v>¿Cuánta caja genera la operación?</x:v>
      </x:c>
      <x:c r="E9" s="21" t="str">
        <x:v>Mensual / LTM</x:v>
      </x:c>
      <x:c r="F9" s="21" t="str">
        <x:v>€</x:v>
      </x:c>
      <x:c r="G9" s="21" t="str">
        <x:v>KPI central del caso</x:v>
      </x:c>
    </x:row>
    <x:row r="10">
      <x:c r="A10" s="21" t="str">
        <x:v>Caja</x:v>
      </x:c>
      <x:c r="B10" s="21" t="str">
        <x:v>Free cash flow</x:v>
      </x:c>
      <x:c r="C10" s="21" t="str">
        <x:v>CFO - CAPEX</x:v>
      </x:c>
      <x:c r="D10" s="21" t="str">
        <x:v>¿Qué caja queda tras mantener/invertir en activos?</x:v>
      </x:c>
      <x:c r="E10" s="21" t="str">
        <x:v>Mensual / LTM</x:v>
      </x:c>
      <x:c r="F10" s="21" t="str">
        <x:v>€</x:v>
      </x:c>
      <x:c r="G10" s="21" t="str">
        <x:v>Puede ser negativo por inversión puntual</x:v>
      </x:c>
    </x:row>
    <x:row r="11">
      <x:c r="A11" s="21" t="str">
        <x:v>Caja</x:v>
      </x:c>
      <x:c r="B11" s="21" t="str">
        <x:v>Conversión CFO / EBITDA</x:v>
      </x:c>
      <x:c r="C11" s="21" t="str">
        <x:v>CFO / EBITDA</x:v>
      </x:c>
      <x:c r="D11" s="21" t="str">
        <x:v>¿Se convierte el resultado operativo en caja?</x:v>
      </x:c>
      <x:c r="E11" s="21" t="str">
        <x:v>LTM</x:v>
      </x:c>
      <x:c r="F11" s="21" t="str">
        <x:v>x / %</x:v>
      </x:c>
      <x:c r="G11" s="21" t="str">
        <x:v>Investigar circulante si cae</x:v>
      </x:c>
    </x:row>
    <x:row r="12">
      <x:c r="A12" s="21" t="str">
        <x:v>Caja</x:v>
      </x:c>
      <x:c r="B12" s="21" t="str">
        <x:v>Calidad del beneficio</x:v>
      </x:c>
      <x:c r="C12" s="21" t="str">
        <x:v>CFO / resultado neto</x:v>
      </x:c>
      <x:c r="D12" s="21" t="str">
        <x:v>¿El beneficio está respaldado por caja?</x:v>
      </x:c>
      <x:c r="E12" s="21" t="str">
        <x:v>LTM</x:v>
      </x:c>
      <x:c r="F12" s="21" t="str">
        <x:v>x</x:v>
      </x:c>
      <x:c r="G12" s="21" t="str">
        <x:v>Interpretar con prudencia si el beneficio es bajo</x:v>
      </x:c>
    </x:row>
    <x:row r="13">
      <x:c r="A13" s="21" t="str">
        <x:v>Liquidez</x:v>
      </x:c>
      <x:c r="B13" s="21" t="str">
        <x:v>Current ratio</x:v>
      </x:c>
      <x:c r="C13" s="21" t="str">
        <x:v>Activo corriente / pasivo corriente</x:v>
      </x:c>
      <x:c r="D13" s="21" t="str">
        <x:v>¿Se cubren obligaciones a corto?</x:v>
      </x:c>
      <x:c r="E13" s="21" t="str">
        <x:v>Mensual</x:v>
      </x:c>
      <x:c r="F13" s="21" t="str">
        <x:v>x</x:v>
      </x:c>
      <x:c r="G13" s="21" t="str">
        <x:v>Depende del sector y calidad de activos</x:v>
      </x:c>
    </x:row>
    <x:row r="14">
      <x:c r="A14" s="21" t="str">
        <x:v>Liquidez</x:v>
      </x:c>
      <x:c r="B14" s="21" t="str">
        <x:v>Quick ratio</x:v>
      </x:c>
      <x:c r="C14" s="21" t="str">
        <x:v>(Caja + clientes) / pasivo corriente</x:v>
      </x:c>
      <x:c r="D14" s="21" t="str">
        <x:v>¿Hay liquidez sin vender inventario?</x:v>
      </x:c>
      <x:c r="E14" s="21" t="str">
        <x:v>Mensual</x:v>
      </x:c>
      <x:c r="F14" s="21" t="str">
        <x:v>x</x:v>
      </x:c>
      <x:c r="G14" s="21" t="str">
        <x:v>Complementa current ratio</x:v>
      </x:c>
    </x:row>
    <x:row r="15">
      <x:c r="A15" s="21" t="str">
        <x:v>Circulante</x:v>
      </x:c>
      <x:c r="B15" s="21" t="str">
        <x:v>DSO</x:v>
      </x:c>
      <x:c r="C15" s="21" t="str">
        <x:v>Clientes medios / ingresos × 365</x:v>
      </x:c>
      <x:c r="D15" s="21" t="str">
        <x:v>¿Cuánto se tarda en cobrar?</x:v>
      </x:c>
      <x:c r="E15" s="21" t="str">
        <x:v>LTM</x:v>
      </x:c>
      <x:c r="F15" s="21" t="str">
        <x:v>días</x:v>
      </x:c>
      <x:c r="G15" s="21" t="str">
        <x:v>Menor suele liberar caja</x:v>
      </x:c>
    </x:row>
    <x:row r="16">
      <x:c r="A16" s="21" t="str">
        <x:v>Circulante</x:v>
      </x:c>
      <x:c r="B16" s="21" t="str">
        <x:v>DIO</x:v>
      </x:c>
      <x:c r="C16" s="21" t="str">
        <x:v>Inventario medio / coste de ventas × 365</x:v>
      </x:c>
      <x:c r="D16" s="21" t="str">
        <x:v>¿Cuánto tiempo permanece el inventario?</x:v>
      </x:c>
      <x:c r="E16" s="21" t="str">
        <x:v>LTM</x:v>
      </x:c>
      <x:c r="F16" s="21" t="str">
        <x:v>días</x:v>
      </x:c>
      <x:c r="G16" s="21" t="str">
        <x:v>Vigilar obsolescencia</x:v>
      </x:c>
    </x:row>
    <x:row r="17">
      <x:c r="A17" s="21" t="str">
        <x:v>Circulante</x:v>
      </x:c>
      <x:c r="B17" s="21" t="str">
        <x:v>DPO</x:v>
      </x:c>
      <x:c r="C17" s="21" t="str">
        <x:v>Proveedores medios / coste de ventas × 365</x:v>
      </x:c>
      <x:c r="D17" s="21" t="str">
        <x:v>¿Cuánto se tarda en pagar?</x:v>
      </x:c>
      <x:c r="E17" s="21" t="str">
        <x:v>LTM</x:v>
      </x:c>
      <x:c r="F17" s="21" t="str">
        <x:v>días</x:v>
      </x:c>
      <x:c r="G17" s="21" t="str">
        <x:v>No maximizar a costa de proveedores</x:v>
      </x:c>
    </x:row>
    <x:row r="18">
      <x:c r="A18" s="21" t="str">
        <x:v>Circulante</x:v>
      </x:c>
      <x:c r="B18" s="21" t="str">
        <x:v>Cash Conversion Cycle</x:v>
      </x:c>
      <x:c r="C18" s="21" t="str">
        <x:v>DSO + DIO - DPO</x:v>
      </x:c>
      <x:c r="D18" s="21" t="str">
        <x:v>¿Cuántos días queda inmovilizada la caja?</x:v>
      </x:c>
      <x:c r="E18" s="21" t="str">
        <x:v>LTM</x:v>
      </x:c>
      <x:c r="F18" s="21" t="str">
        <x:v>días</x:v>
      </x:c>
      <x:c r="G18" s="21" t="str">
        <x:v>Menor implica mejor conversión</x:v>
      </x:c>
    </x:row>
    <x:row r="19">
      <x:c r="A19" s="21" t="str">
        <x:v>Solvencia</x:v>
      </x:c>
      <x:c r="B19" s="21" t="str">
        <x:v>Deuda neta</x:v>
      </x:c>
      <x:c r="C19" s="21" t="str">
        <x:v>Deuda + arrendamientos - caja</x:v>
      </x:c>
      <x:c r="D19" s="21" t="str">
        <x:v>¿Cuál es la deuda tras considerar liquidez?</x:v>
      </x:c>
      <x:c r="E19" s="21" t="str">
        <x:v>Mensual</x:v>
      </x:c>
      <x:c r="F19" s="21" t="str">
        <x:v>€</x:v>
      </x:c>
      <x:c r="G19" s="21" t="str">
        <x:v>Relacionar con EBITDA y CFO</x:v>
      </x:c>
    </x:row>
    <x:row r="20">
      <x:c r="A20" s="21" t="str">
        <x:v>Solvencia</x:v>
      </x:c>
      <x:c r="B20" s="21" t="str">
        <x:v>Deuda neta / EBITDA</x:v>
      </x:c>
      <x:c r="C20" s="21" t="str">
        <x:v>Deuda neta / EBITDA LTM</x:v>
      </x:c>
      <x:c r="D20" s="21" t="str">
        <x:v>¿Cuántos años de EBITDA representa la deuda?</x:v>
      </x:c>
      <x:c r="E20" s="21" t="str">
        <x:v>LTM</x:v>
      </x:c>
      <x:c r="F20" s="21" t="str">
        <x:v>x</x:v>
      </x:c>
      <x:c r="G20" s="21" t="str">
        <x:v>Comparar con covenants y sector</x:v>
      </x:c>
    </x:row>
    <x:row r="21">
      <x:c r="A21" s="21" t="str">
        <x:v>Solvencia</x:v>
      </x:c>
      <x:c r="B21" s="21" t="str">
        <x:v>Cobertura de intereses</x:v>
      </x:c>
      <x:c r="C21" s="21" t="str">
        <x:v>EBIT / gastos financieros</x:v>
      </x:c>
      <x:c r="D21" s="21" t="str">
        <x:v>¿Puede la operación pagar intereses?</x:v>
      </x:c>
      <x:c r="E21" s="21" t="str">
        <x:v>LTM</x:v>
      </x:c>
      <x:c r="F21" s="21" t="str">
        <x:v>x</x:v>
      </x:c>
      <x:c r="G21" s="21" t="str">
        <x:v>Mayor implica más holgura</x:v>
      </x:c>
    </x:row>
    <x:row r="22">
      <x:c r="A22" s="21" t="str">
        <x:v>Capital</x:v>
      </x:c>
      <x:c r="B22" s="21" t="str">
        <x:v>ROA</x:v>
      </x:c>
      <x:c r="C22" s="21" t="str">
        <x:v>Resultado neto / activos medios</x:v>
      </x:c>
      <x:c r="D22" s="21" t="str">
        <x:v>¿Qué rentabilidad producen los activos?</x:v>
      </x:c>
      <x:c r="E22" s="21" t="str">
        <x:v>LTM</x:v>
      </x:c>
      <x:c r="F22" s="21" t="str">
        <x:v>%</x:v>
      </x:c>
      <x:c r="G22" s="21" t="str">
        <x:v>Útil en negocios intensivos en activos</x:v>
      </x:c>
    </x:row>
    <x:row r="23">
      <x:c r="A23" s="21" t="str">
        <x:v>Capital</x:v>
      </x:c>
      <x:c r="B23" s="21" t="str">
        <x:v>ROE</x:v>
      </x:c>
      <x:c r="C23" s="21" t="str">
        <x:v>Resultado neto / patrimonio medio</x:v>
      </x:c>
      <x:c r="D23" s="21" t="str">
        <x:v>¿Qué rentabilidad obtiene el capital propio?</x:v>
      </x:c>
      <x:c r="E23" s="21" t="str">
        <x:v>LTM</x:v>
      </x:c>
      <x:c r="F23" s="21" t="str">
        <x:v>%</x:v>
      </x:c>
      <x:c r="G23" s="21" t="str">
        <x:v>Puede aumentar artificialmente con deuda</x:v>
      </x:c>
    </x:row>
    <x:row r="24">
      <x:c r="A24" s="21" t="str">
        <x:v>Capital</x:v>
      </x:c>
      <x:c r="B24" s="21" t="str">
        <x:v>CAPEX / ingresos</x:v>
      </x:c>
      <x:c r="C24" s="21" t="str">
        <x:v>CAPEX / ingresos</x:v>
      </x:c>
      <x:c r="D24" s="21" t="str">
        <x:v>¿Qué intensidad inversora tiene el negocio?</x:v>
      </x:c>
      <x:c r="E24" s="21" t="str">
        <x:v>LTM</x:v>
      </x:c>
      <x:c r="F24" s="21" t="str">
        <x:v>%</x:v>
      </x:c>
      <x:c r="G24" s="21" t="str">
        <x:v>Distinguir mantenimiento y crecimiento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16" hidden="0" customWidth="1"/>
  </x:cols>
  <x:sheetData>
    <x:row r="1" ht="32" customHeight="1">
      <x:c r="A1" s="3" t="str">
        <x:v>Comprobaciones de coherencia</x:v>
      </x:c>
      <x:c r="B1" s="3" t="str">
        <x:v>Comprobaciones de coherencia</x:v>
      </x:c>
      <x:c r="C1" s="3" t="str">
        <x:v>Comprobaciones de coherencia</x:v>
      </x:c>
      <x:c r="D1" s="3" t="str">
        <x:v>Comprobaciones de coherencia</x:v>
      </x:c>
      <x:c r="E1" s="3" t="str">
        <x:v>Comprobaciones de coherencia</x:v>
      </x:c>
      <x:c r="F1" s="3" t="str">
        <x:v>Comprobaciones de coherencia</x:v>
      </x:c>
      <x:c r="G1" s="3" t="str">
        <x:v>Comprobaciones de coherencia</x:v>
      </x:c>
    </x:row>
    <x:row r="2" ht="30" customHeight="1">
      <x:c r="A2" s="7" t="str">
        <x:v>Una fila por periodo: balance, caja, patrimonio, deuda y arrendamientos deben conciliar sin ajustes manuales.</x:v>
      </x:c>
      <x:c r="B2" s="7" t="str">
        <x:v>Una fila por periodo: balance, caja, patrimonio, deuda y arrendamientos deben conciliar sin ajustes manuales.</x:v>
      </x:c>
      <x:c r="C2" s="7" t="str">
        <x:v>Una fila por periodo: balance, caja, patrimonio, deuda y arrendamientos deben conciliar sin ajustes manuales.</x:v>
      </x:c>
      <x:c r="D2" s="7" t="str">
        <x:v>Una fila por periodo: balance, caja, patrimonio, deuda y arrendamientos deben conciliar sin ajustes manuales.</x:v>
      </x:c>
      <x:c r="E2" s="7" t="str">
        <x:v>Una fila por periodo: balance, caja, patrimonio, deuda y arrendamientos deben conciliar sin ajustes manuales.</x:v>
      </x:c>
      <x:c r="F2" s="7" t="str">
        <x:v>Una fila por periodo: balance, caja, patrimonio, deuda y arrendamientos deben conciliar sin ajustes manuales.</x:v>
      </x:c>
      <x:c r="G2" s="7" t="str">
        <x:v>Una fila por periodo: balance, caja, patrimonio, deuda y arrendamientos deben conciliar sin ajustes manuales.</x:v>
      </x:c>
    </x:row>
    <x:row r="4" ht="26" customHeight="1">
      <x:c r="A4" s="11" t="str">
        <x:v>Periodo</x:v>
      </x:c>
      <x:c r="B4" s="11" t="str">
        <x:v>Balance</x:v>
      </x:c>
      <x:c r="C4" s="11" t="str">
        <x:v>Cash flow</x:v>
      </x:c>
      <x:c r="D4" s="11" t="str">
        <x:v>Resultados acumulados</x:v>
      </x:c>
      <x:c r="E4" s="11" t="str">
        <x:v>Deuda</x:v>
      </x:c>
      <x:c r="F4" s="11" t="str">
        <x:v>Arrendamientos</x:v>
      </x:c>
      <x:c r="G4" s="11" t="str">
        <x:v>Estado</x:v>
      </x:c>
    </x:row>
    <x:row r="5">
      <x:c r="A5" s="18" t="str">
        <x:v>2024-01</x:v>
      </x:c>
      <x:c r="B5" s="49" t="n">
        <x:f>'Financial_Statements'!B56</x:f>
        <x:v>0</x:v>
      </x:c>
      <x:c r="C5" s="49" t="n">
        <x:f>'Cash_Flow_Model'!B36</x:f>
        <x:v>0</x:v>
      </x:c>
      <x:c r="D5" s="49" t="n">
        <x:f>'Financial_Statements'!B53-(SUMIFS('Balance_Sheet_Data'!$E$2:$E$630,'Balance_Sheet_Data'!$A$2:$A$630,"2023-12",'Balance_Sheet_Data'!$C$2:$C$630,"3100")+'Financial_Statements'!B30-SUMIFS('Supplemental_Movements'!$E$2:$E$361,'Supplemental_Movements'!$A$2:$A$361,A5,'Supplemental_Movements'!$C$2:$C$361,"DIVIDENDS"))</x:f>
        <x:v>0</x:v>
      </x:c>
      <x:c r="E5" s="49" t="n">
        <x:f>('Financial_Statements'!B45+'Financial_Statements'!B48)-(SUMIFS('Balance_Sheet_Data'!$E$2:$E$630,'Balance_Sheet_Data'!$A$2:$A$630,"2023-12",'Balance_Sheet_Data'!$C$2:$C$630,"2300")+SUMIFS('Balance_Sheet_Data'!$E$2:$E$630,'Balance_Sheet_Data'!$A$2:$A$630,"2023-12",'Balance_Sheet_Data'!$C$2:$C$630,"2500")+SUMIFS('Supplemental_Movements'!$E$2:$E$361,'Supplemental_Movements'!$A$2:$A$361,A5,'Supplemental_Movements'!$C$2:$C$361,"DEBT_DRAWDOWNS")-SUMIFS('Supplemental_Movements'!$E$2:$E$361,'Supplemental_Movements'!$A$2:$A$361,A5,'Supplemental_Movements'!$C$2:$C$361,"DEBT_REPAYMENTS"))</x:f>
        <x:v>0</x:v>
      </x:c>
      <x:c r="F5" s="49" t="n">
        <x:f>('Financial_Statements'!B46+'Financial_Statements'!B49)-(SUMIFS('Balance_Sheet_Data'!$E$2:$E$630,'Balance_Sheet_Data'!$A$2:$A$630,"2023-12",'Balance_Sheet_Data'!$C$2:$C$630,"2400")+SUMIFS('Balance_Sheet_Data'!$E$2:$E$630,'Balance_Sheet_Data'!$A$2:$A$630,"2023-12",'Balance_Sheet_Data'!$C$2:$C$630,"2600")-SUMIFS('Supplemental_Movements'!$E$2:$E$361,'Supplemental_Movements'!$A$2:$A$361,A5,'Supplemental_Movements'!$C$2:$C$361,"LEASE_PRINCIPAL"))</x:f>
        <x:v>0</x:v>
      </x:c>
      <x:c r="G5" s="18" t="str">
        <x:f>IF(MAX(ABS(B5),ABS(C5),ABS(D5),ABS(E5),ABS(F5))&lt;1,"OK","REVISAR")</x:f>
        <x:v>OK</x:v>
      </x:c>
    </x:row>
    <x:row r="6">
      <x:c r="A6" s="18" t="str">
        <x:v>2024-02</x:v>
      </x:c>
      <x:c r="B6" s="49" t="n">
        <x:f>'Financial_Statements'!C56</x:f>
        <x:v>0</x:v>
      </x:c>
      <x:c r="C6" s="49" t="n">
        <x:f>'Cash_Flow_Model'!C36</x:f>
        <x:v>0</x:v>
      </x:c>
      <x:c r="D6" s="49" t="n">
        <x:f>'Financial_Statements'!C53-('Financial_Statements'!B53+'Financial_Statements'!C30-SUMIFS('Supplemental_Movements'!$E$2:$E$361,'Supplemental_Movements'!$A$2:$A$361,A6,'Supplemental_Movements'!$C$2:$C$361,"DIVIDENDS"))</x:f>
        <x:v>0</x:v>
      </x:c>
      <x:c r="E6" s="49" t="n">
        <x:f>('Financial_Statements'!C45+'Financial_Statements'!C48)-('Financial_Statements'!B45+'Financial_Statements'!B48+SUMIFS('Supplemental_Movements'!$E$2:$E$361,'Supplemental_Movements'!$A$2:$A$361,A6,'Supplemental_Movements'!$C$2:$C$361,"DEBT_DRAWDOWNS")-SUMIFS('Supplemental_Movements'!$E$2:$E$361,'Supplemental_Movements'!$A$2:$A$361,A6,'Supplemental_Movements'!$C$2:$C$361,"DEBT_REPAYMENTS"))</x:f>
        <x:v>0</x:v>
      </x:c>
      <x:c r="F6" s="49" t="n">
        <x:f>('Financial_Statements'!C46+'Financial_Statements'!C49)-('Financial_Statements'!B46+'Financial_Statements'!B49-SUMIFS('Supplemental_Movements'!$E$2:$E$361,'Supplemental_Movements'!$A$2:$A$361,A6,'Supplemental_Movements'!$C$2:$C$361,"LEASE_PRINCIPAL"))</x:f>
        <x:v>0</x:v>
      </x:c>
      <x:c r="G6" s="18" t="str">
        <x:f>IF(MAX(ABS(B6),ABS(C6),ABS(D6),ABS(E6),ABS(F6))&lt;1,"OK","REVISAR")</x:f>
        <x:v>OK</x:v>
      </x:c>
    </x:row>
    <x:row r="7">
      <x:c r="A7" s="18" t="str">
        <x:v>2024-03</x:v>
      </x:c>
      <x:c r="B7" s="49" t="n">
        <x:f>'Financial_Statements'!D56</x:f>
        <x:v>0</x:v>
      </x:c>
      <x:c r="C7" s="49" t="n">
        <x:f>'Cash_Flow_Model'!D36</x:f>
        <x:v>0</x:v>
      </x:c>
      <x:c r="D7" s="49" t="n">
        <x:f>'Financial_Statements'!D53-('Financial_Statements'!C53+'Financial_Statements'!D30-SUMIFS('Supplemental_Movements'!$E$2:$E$361,'Supplemental_Movements'!$A$2:$A$361,A7,'Supplemental_Movements'!$C$2:$C$361,"DIVIDENDS"))</x:f>
        <x:v>0</x:v>
      </x:c>
      <x:c r="E7" s="49" t="n">
        <x:f>('Financial_Statements'!D45+'Financial_Statements'!D48)-('Financial_Statements'!C45+'Financial_Statements'!C48+SUMIFS('Supplemental_Movements'!$E$2:$E$361,'Supplemental_Movements'!$A$2:$A$361,A7,'Supplemental_Movements'!$C$2:$C$361,"DEBT_DRAWDOWNS")-SUMIFS('Supplemental_Movements'!$E$2:$E$361,'Supplemental_Movements'!$A$2:$A$361,A7,'Supplemental_Movements'!$C$2:$C$361,"DEBT_REPAYMENTS"))</x:f>
        <x:v>0</x:v>
      </x:c>
      <x:c r="F7" s="49" t="n">
        <x:f>('Financial_Statements'!D46+'Financial_Statements'!D49)-('Financial_Statements'!C46+'Financial_Statements'!C49-SUMIFS('Supplemental_Movements'!$E$2:$E$361,'Supplemental_Movements'!$A$2:$A$361,A7,'Supplemental_Movements'!$C$2:$C$361,"LEASE_PRINCIPAL"))</x:f>
        <x:v>0</x:v>
      </x:c>
      <x:c r="G7" s="18" t="str">
        <x:f>IF(MAX(ABS(B7),ABS(C7),ABS(D7),ABS(E7),ABS(F7))&lt;1,"OK","REVISAR")</x:f>
        <x:v>OK</x:v>
      </x:c>
    </x:row>
    <x:row r="8">
      <x:c r="A8" s="18" t="str">
        <x:v>2024-04</x:v>
      </x:c>
      <x:c r="B8" s="49" t="n">
        <x:f>'Financial_Statements'!E56</x:f>
        <x:v>0</x:v>
      </x:c>
      <x:c r="C8" s="49" t="n">
        <x:f>'Cash_Flow_Model'!E36</x:f>
        <x:v>0</x:v>
      </x:c>
      <x:c r="D8" s="49" t="n">
        <x:f>'Financial_Statements'!E53-('Financial_Statements'!D53+'Financial_Statements'!E30-SUMIFS('Supplemental_Movements'!$E$2:$E$361,'Supplemental_Movements'!$A$2:$A$361,A8,'Supplemental_Movements'!$C$2:$C$361,"DIVIDENDS"))</x:f>
        <x:v>0</x:v>
      </x:c>
      <x:c r="E8" s="49" t="n">
        <x:f>('Financial_Statements'!E45+'Financial_Statements'!E48)-('Financial_Statements'!D45+'Financial_Statements'!D48+SUMIFS('Supplemental_Movements'!$E$2:$E$361,'Supplemental_Movements'!$A$2:$A$361,A8,'Supplemental_Movements'!$C$2:$C$361,"DEBT_DRAWDOWNS")-SUMIFS('Supplemental_Movements'!$E$2:$E$361,'Supplemental_Movements'!$A$2:$A$361,A8,'Supplemental_Movements'!$C$2:$C$361,"DEBT_REPAYMENTS"))</x:f>
        <x:v>0</x:v>
      </x:c>
      <x:c r="F8" s="49" t="n">
        <x:f>('Financial_Statements'!E46+'Financial_Statements'!E49)-('Financial_Statements'!D46+'Financial_Statements'!D49-SUMIFS('Supplemental_Movements'!$E$2:$E$361,'Supplemental_Movements'!$A$2:$A$361,A8,'Supplemental_Movements'!$C$2:$C$361,"LEASE_PRINCIPAL"))</x:f>
        <x:v>0</x:v>
      </x:c>
      <x:c r="G8" s="18" t="str">
        <x:f>IF(MAX(ABS(B8),ABS(C8),ABS(D8),ABS(E8),ABS(F8))&lt;1,"OK","REVISAR")</x:f>
        <x:v>OK</x:v>
      </x:c>
    </x:row>
    <x:row r="9">
      <x:c r="A9" s="18" t="str">
        <x:v>2024-05</x:v>
      </x:c>
      <x:c r="B9" s="49" t="n">
        <x:f>'Financial_Statements'!F56</x:f>
        <x:v>0</x:v>
      </x:c>
      <x:c r="C9" s="49" t="n">
        <x:f>'Cash_Flow_Model'!F36</x:f>
        <x:v>0</x:v>
      </x:c>
      <x:c r="D9" s="49" t="n">
        <x:f>'Financial_Statements'!F53-('Financial_Statements'!E53+'Financial_Statements'!F30-SUMIFS('Supplemental_Movements'!$E$2:$E$361,'Supplemental_Movements'!$A$2:$A$361,A9,'Supplemental_Movements'!$C$2:$C$361,"DIVIDENDS"))</x:f>
        <x:v>0</x:v>
      </x:c>
      <x:c r="E9" s="49" t="n">
        <x:f>('Financial_Statements'!F45+'Financial_Statements'!F48)-('Financial_Statements'!E45+'Financial_Statements'!E48+SUMIFS('Supplemental_Movements'!$E$2:$E$361,'Supplemental_Movements'!$A$2:$A$361,A9,'Supplemental_Movements'!$C$2:$C$361,"DEBT_DRAWDOWNS")-SUMIFS('Supplemental_Movements'!$E$2:$E$361,'Supplemental_Movements'!$A$2:$A$361,A9,'Supplemental_Movements'!$C$2:$C$361,"DEBT_REPAYMENTS"))</x:f>
        <x:v>0</x:v>
      </x:c>
      <x:c r="F9" s="49" t="n">
        <x:f>('Financial_Statements'!F46+'Financial_Statements'!F49)-('Financial_Statements'!E46+'Financial_Statements'!E49-SUMIFS('Supplemental_Movements'!$E$2:$E$361,'Supplemental_Movements'!$A$2:$A$361,A9,'Supplemental_Movements'!$C$2:$C$361,"LEASE_PRINCIPAL"))</x:f>
        <x:v>0</x:v>
      </x:c>
      <x:c r="G9" s="18" t="str">
        <x:f>IF(MAX(ABS(B9),ABS(C9),ABS(D9),ABS(E9),ABS(F9))&lt;1,"OK","REVISAR")</x:f>
        <x:v>OK</x:v>
      </x:c>
    </x:row>
    <x:row r="10">
      <x:c r="A10" s="18" t="str">
        <x:v>2024-06</x:v>
      </x:c>
      <x:c r="B10" s="49" t="n">
        <x:f>'Financial_Statements'!G56</x:f>
        <x:v>0</x:v>
      </x:c>
      <x:c r="C10" s="49" t="n">
        <x:f>'Cash_Flow_Model'!G36</x:f>
        <x:v>0</x:v>
      </x:c>
      <x:c r="D10" s="49" t="n">
        <x:f>'Financial_Statements'!G53-('Financial_Statements'!F53+'Financial_Statements'!G30-SUMIFS('Supplemental_Movements'!$E$2:$E$361,'Supplemental_Movements'!$A$2:$A$361,A10,'Supplemental_Movements'!$C$2:$C$361,"DIVIDENDS"))</x:f>
        <x:v>0</x:v>
      </x:c>
      <x:c r="E10" s="49" t="n">
        <x:f>('Financial_Statements'!G45+'Financial_Statements'!G48)-('Financial_Statements'!F45+'Financial_Statements'!F48+SUMIFS('Supplemental_Movements'!$E$2:$E$361,'Supplemental_Movements'!$A$2:$A$361,A10,'Supplemental_Movements'!$C$2:$C$361,"DEBT_DRAWDOWNS")-SUMIFS('Supplemental_Movements'!$E$2:$E$361,'Supplemental_Movements'!$A$2:$A$361,A10,'Supplemental_Movements'!$C$2:$C$361,"DEBT_REPAYMENTS"))</x:f>
        <x:v>0</x:v>
      </x:c>
      <x:c r="F10" s="49" t="n">
        <x:f>('Financial_Statements'!G46+'Financial_Statements'!G49)-('Financial_Statements'!F46+'Financial_Statements'!F49-SUMIFS('Supplemental_Movements'!$E$2:$E$361,'Supplemental_Movements'!$A$2:$A$361,A10,'Supplemental_Movements'!$C$2:$C$361,"LEASE_PRINCIPAL"))</x:f>
        <x:v>0</x:v>
      </x:c>
      <x:c r="G10" s="18" t="str">
        <x:f>IF(MAX(ABS(B10),ABS(C10),ABS(D10),ABS(E10),ABS(F10))&lt;1,"OK","REVISAR")</x:f>
        <x:v>OK</x:v>
      </x:c>
    </x:row>
    <x:row r="11">
      <x:c r="A11" s="18" t="str">
        <x:v>2024-07</x:v>
      </x:c>
      <x:c r="B11" s="49" t="n">
        <x:f>'Financial_Statements'!H56</x:f>
        <x:v>0</x:v>
      </x:c>
      <x:c r="C11" s="49" t="n">
        <x:f>'Cash_Flow_Model'!H36</x:f>
        <x:v>0</x:v>
      </x:c>
      <x:c r="D11" s="49" t="n">
        <x:f>'Financial_Statements'!H53-('Financial_Statements'!G53+'Financial_Statements'!H30-SUMIFS('Supplemental_Movements'!$E$2:$E$361,'Supplemental_Movements'!$A$2:$A$361,A11,'Supplemental_Movements'!$C$2:$C$361,"DIVIDENDS"))</x:f>
        <x:v>0</x:v>
      </x:c>
      <x:c r="E11" s="49" t="n">
        <x:f>('Financial_Statements'!H45+'Financial_Statements'!H48)-('Financial_Statements'!G45+'Financial_Statements'!G48+SUMIFS('Supplemental_Movements'!$E$2:$E$361,'Supplemental_Movements'!$A$2:$A$361,A11,'Supplemental_Movements'!$C$2:$C$361,"DEBT_DRAWDOWNS")-SUMIFS('Supplemental_Movements'!$E$2:$E$361,'Supplemental_Movements'!$A$2:$A$361,A11,'Supplemental_Movements'!$C$2:$C$361,"DEBT_REPAYMENTS"))</x:f>
        <x:v>0</x:v>
      </x:c>
      <x:c r="F11" s="49" t="n">
        <x:f>('Financial_Statements'!H46+'Financial_Statements'!H49)-('Financial_Statements'!G46+'Financial_Statements'!G49-SUMIFS('Supplemental_Movements'!$E$2:$E$361,'Supplemental_Movements'!$A$2:$A$361,A11,'Supplemental_Movements'!$C$2:$C$361,"LEASE_PRINCIPAL"))</x:f>
        <x:v>0</x:v>
      </x:c>
      <x:c r="G11" s="18" t="str">
        <x:f>IF(MAX(ABS(B11),ABS(C11),ABS(D11),ABS(E11),ABS(F11))&lt;1,"OK","REVISAR")</x:f>
        <x:v>OK</x:v>
      </x:c>
    </x:row>
    <x:row r="12">
      <x:c r="A12" s="18" t="str">
        <x:v>2024-08</x:v>
      </x:c>
      <x:c r="B12" s="49" t="n">
        <x:f>'Financial_Statements'!I56</x:f>
        <x:v>0</x:v>
      </x:c>
      <x:c r="C12" s="49" t="n">
        <x:f>'Cash_Flow_Model'!I36</x:f>
        <x:v>0</x:v>
      </x:c>
      <x:c r="D12" s="49" t="n">
        <x:f>'Financial_Statements'!I53-('Financial_Statements'!H53+'Financial_Statements'!I30-SUMIFS('Supplemental_Movements'!$E$2:$E$361,'Supplemental_Movements'!$A$2:$A$361,A12,'Supplemental_Movements'!$C$2:$C$361,"DIVIDENDS"))</x:f>
        <x:v>0</x:v>
      </x:c>
      <x:c r="E12" s="49" t="n">
        <x:f>('Financial_Statements'!I45+'Financial_Statements'!I48)-('Financial_Statements'!H45+'Financial_Statements'!H48+SUMIFS('Supplemental_Movements'!$E$2:$E$361,'Supplemental_Movements'!$A$2:$A$361,A12,'Supplemental_Movements'!$C$2:$C$361,"DEBT_DRAWDOWNS")-SUMIFS('Supplemental_Movements'!$E$2:$E$361,'Supplemental_Movements'!$A$2:$A$361,A12,'Supplemental_Movements'!$C$2:$C$361,"DEBT_REPAYMENTS"))</x:f>
        <x:v>0</x:v>
      </x:c>
      <x:c r="F12" s="49" t="n">
        <x:f>('Financial_Statements'!I46+'Financial_Statements'!I49)-('Financial_Statements'!H46+'Financial_Statements'!H49-SUMIFS('Supplemental_Movements'!$E$2:$E$361,'Supplemental_Movements'!$A$2:$A$361,A12,'Supplemental_Movements'!$C$2:$C$361,"LEASE_PRINCIPAL"))</x:f>
        <x:v>0</x:v>
      </x:c>
      <x:c r="G12" s="18" t="str">
        <x:f>IF(MAX(ABS(B12),ABS(C12),ABS(D12),ABS(E12),ABS(F12))&lt;1,"OK","REVISAR")</x:f>
        <x:v>OK</x:v>
      </x:c>
    </x:row>
    <x:row r="13">
      <x:c r="A13" s="18" t="str">
        <x:v>2024-09</x:v>
      </x:c>
      <x:c r="B13" s="49" t="n">
        <x:f>'Financial_Statements'!J56</x:f>
        <x:v>0</x:v>
      </x:c>
      <x:c r="C13" s="49" t="n">
        <x:f>'Cash_Flow_Model'!J36</x:f>
        <x:v>0</x:v>
      </x:c>
      <x:c r="D13" s="49" t="n">
        <x:f>'Financial_Statements'!J53-('Financial_Statements'!I53+'Financial_Statements'!J30-SUMIFS('Supplemental_Movements'!$E$2:$E$361,'Supplemental_Movements'!$A$2:$A$361,A13,'Supplemental_Movements'!$C$2:$C$361,"DIVIDENDS"))</x:f>
        <x:v>0</x:v>
      </x:c>
      <x:c r="E13" s="49" t="n">
        <x:f>('Financial_Statements'!J45+'Financial_Statements'!J48)-('Financial_Statements'!I45+'Financial_Statements'!I48+SUMIFS('Supplemental_Movements'!$E$2:$E$361,'Supplemental_Movements'!$A$2:$A$361,A13,'Supplemental_Movements'!$C$2:$C$361,"DEBT_DRAWDOWNS")-SUMIFS('Supplemental_Movements'!$E$2:$E$361,'Supplemental_Movements'!$A$2:$A$361,A13,'Supplemental_Movements'!$C$2:$C$361,"DEBT_REPAYMENTS"))</x:f>
        <x:v>0</x:v>
      </x:c>
      <x:c r="F13" s="49" t="n">
        <x:f>('Financial_Statements'!J46+'Financial_Statements'!J49)-('Financial_Statements'!I46+'Financial_Statements'!I49-SUMIFS('Supplemental_Movements'!$E$2:$E$361,'Supplemental_Movements'!$A$2:$A$361,A13,'Supplemental_Movements'!$C$2:$C$361,"LEASE_PRINCIPAL"))</x:f>
        <x:v>0</x:v>
      </x:c>
      <x:c r="G13" s="18" t="str">
        <x:f>IF(MAX(ABS(B13),ABS(C13),ABS(D13),ABS(E13),ABS(F13))&lt;1,"OK","REVISAR")</x:f>
        <x:v>OK</x:v>
      </x:c>
    </x:row>
    <x:row r="14">
      <x:c r="A14" s="18" t="str">
        <x:v>2024-10</x:v>
      </x:c>
      <x:c r="B14" s="49" t="n">
        <x:f>'Financial_Statements'!K56</x:f>
        <x:v>0</x:v>
      </x:c>
      <x:c r="C14" s="49" t="n">
        <x:f>'Cash_Flow_Model'!K36</x:f>
        <x:v>0</x:v>
      </x:c>
      <x:c r="D14" s="49" t="n">
        <x:f>'Financial_Statements'!K53-('Financial_Statements'!J53+'Financial_Statements'!K30-SUMIFS('Supplemental_Movements'!$E$2:$E$361,'Supplemental_Movements'!$A$2:$A$361,A14,'Supplemental_Movements'!$C$2:$C$361,"DIVIDENDS"))</x:f>
        <x:v>0</x:v>
      </x:c>
      <x:c r="E14" s="49" t="n">
        <x:f>('Financial_Statements'!K45+'Financial_Statements'!K48)-('Financial_Statements'!J45+'Financial_Statements'!J48+SUMIFS('Supplemental_Movements'!$E$2:$E$361,'Supplemental_Movements'!$A$2:$A$361,A14,'Supplemental_Movements'!$C$2:$C$361,"DEBT_DRAWDOWNS")-SUMIFS('Supplemental_Movements'!$E$2:$E$361,'Supplemental_Movements'!$A$2:$A$361,A14,'Supplemental_Movements'!$C$2:$C$361,"DEBT_REPAYMENTS"))</x:f>
        <x:v>0</x:v>
      </x:c>
      <x:c r="F14" s="49" t="n">
        <x:f>('Financial_Statements'!K46+'Financial_Statements'!K49)-('Financial_Statements'!J46+'Financial_Statements'!J49-SUMIFS('Supplemental_Movements'!$E$2:$E$361,'Supplemental_Movements'!$A$2:$A$361,A14,'Supplemental_Movements'!$C$2:$C$361,"LEASE_PRINCIPAL"))</x:f>
        <x:v>0</x:v>
      </x:c>
      <x:c r="G14" s="18" t="str">
        <x:f>IF(MAX(ABS(B14),ABS(C14),ABS(D14),ABS(E14),ABS(F14))&lt;1,"OK","REVISAR")</x:f>
        <x:v>OK</x:v>
      </x:c>
    </x:row>
    <x:row r="15">
      <x:c r="A15" s="18" t="str">
        <x:v>2024-11</x:v>
      </x:c>
      <x:c r="B15" s="49" t="n">
        <x:f>'Financial_Statements'!L56</x:f>
        <x:v>0</x:v>
      </x:c>
      <x:c r="C15" s="49" t="n">
        <x:f>'Cash_Flow_Model'!L36</x:f>
        <x:v>0</x:v>
      </x:c>
      <x:c r="D15" s="49" t="n">
        <x:f>'Financial_Statements'!L53-('Financial_Statements'!K53+'Financial_Statements'!L30-SUMIFS('Supplemental_Movements'!$E$2:$E$361,'Supplemental_Movements'!$A$2:$A$361,A15,'Supplemental_Movements'!$C$2:$C$361,"DIVIDENDS"))</x:f>
        <x:v>0</x:v>
      </x:c>
      <x:c r="E15" s="49" t="n">
        <x:f>('Financial_Statements'!L45+'Financial_Statements'!L48)-('Financial_Statements'!K45+'Financial_Statements'!K48+SUMIFS('Supplemental_Movements'!$E$2:$E$361,'Supplemental_Movements'!$A$2:$A$361,A15,'Supplemental_Movements'!$C$2:$C$361,"DEBT_DRAWDOWNS")-SUMIFS('Supplemental_Movements'!$E$2:$E$361,'Supplemental_Movements'!$A$2:$A$361,A15,'Supplemental_Movements'!$C$2:$C$361,"DEBT_REPAYMENTS"))</x:f>
        <x:v>0</x:v>
      </x:c>
      <x:c r="F15" s="49" t="n">
        <x:f>('Financial_Statements'!L46+'Financial_Statements'!L49)-('Financial_Statements'!K46+'Financial_Statements'!K49-SUMIFS('Supplemental_Movements'!$E$2:$E$361,'Supplemental_Movements'!$A$2:$A$361,A15,'Supplemental_Movements'!$C$2:$C$361,"LEASE_PRINCIPAL"))</x:f>
        <x:v>0</x:v>
      </x:c>
      <x:c r="G15" s="18" t="str">
        <x:f>IF(MAX(ABS(B15),ABS(C15),ABS(D15),ABS(E15),ABS(F15))&lt;1,"OK","REVISAR")</x:f>
        <x:v>OK</x:v>
      </x:c>
    </x:row>
    <x:row r="16">
      <x:c r="A16" s="18" t="str">
        <x:v>2024-12</x:v>
      </x:c>
      <x:c r="B16" s="49" t="n">
        <x:f>'Financial_Statements'!M56</x:f>
        <x:v>0</x:v>
      </x:c>
      <x:c r="C16" s="49" t="n">
        <x:f>'Cash_Flow_Model'!M36</x:f>
        <x:v>0</x:v>
      </x:c>
      <x:c r="D16" s="49" t="n">
        <x:f>'Financial_Statements'!M53-('Financial_Statements'!L53+'Financial_Statements'!M30-SUMIFS('Supplemental_Movements'!$E$2:$E$361,'Supplemental_Movements'!$A$2:$A$361,A16,'Supplemental_Movements'!$C$2:$C$361,"DIVIDENDS"))</x:f>
        <x:v>0</x:v>
      </x:c>
      <x:c r="E16" s="49" t="n">
        <x:f>('Financial_Statements'!M45+'Financial_Statements'!M48)-('Financial_Statements'!L45+'Financial_Statements'!L48+SUMIFS('Supplemental_Movements'!$E$2:$E$361,'Supplemental_Movements'!$A$2:$A$361,A16,'Supplemental_Movements'!$C$2:$C$361,"DEBT_DRAWDOWNS")-SUMIFS('Supplemental_Movements'!$E$2:$E$361,'Supplemental_Movements'!$A$2:$A$361,A16,'Supplemental_Movements'!$C$2:$C$361,"DEBT_REPAYMENTS"))</x:f>
        <x:v>0</x:v>
      </x:c>
      <x:c r="F16" s="49" t="n">
        <x:f>('Financial_Statements'!M46+'Financial_Statements'!M49)-('Financial_Statements'!L46+'Financial_Statements'!L49-SUMIFS('Supplemental_Movements'!$E$2:$E$361,'Supplemental_Movements'!$A$2:$A$361,A16,'Supplemental_Movements'!$C$2:$C$361,"LEASE_PRINCIPAL"))</x:f>
        <x:v>0</x:v>
      </x:c>
      <x:c r="G16" s="18" t="str">
        <x:f>IF(MAX(ABS(B16),ABS(C16),ABS(D16),ABS(E16),ABS(F16))&lt;1,"OK","REVISAR")</x:f>
        <x:v>OK</x:v>
      </x:c>
    </x:row>
    <x:row r="17">
      <x:c r="A17" s="18" t="str">
        <x:v>2025-01</x:v>
      </x:c>
      <x:c r="B17" s="49" t="n">
        <x:f>'Financial_Statements'!N56</x:f>
        <x:v>0</x:v>
      </x:c>
      <x:c r="C17" s="49" t="n">
        <x:f>'Cash_Flow_Model'!N36</x:f>
        <x:v>0</x:v>
      </x:c>
      <x:c r="D17" s="49" t="n">
        <x:f>'Financial_Statements'!N53-('Financial_Statements'!M53+'Financial_Statements'!N30-SUMIFS('Supplemental_Movements'!$E$2:$E$361,'Supplemental_Movements'!$A$2:$A$361,A17,'Supplemental_Movements'!$C$2:$C$361,"DIVIDENDS"))</x:f>
        <x:v>0</x:v>
      </x:c>
      <x:c r="E17" s="49" t="n">
        <x:f>('Financial_Statements'!N45+'Financial_Statements'!N48)-('Financial_Statements'!M45+'Financial_Statements'!M48+SUMIFS('Supplemental_Movements'!$E$2:$E$361,'Supplemental_Movements'!$A$2:$A$361,A17,'Supplemental_Movements'!$C$2:$C$361,"DEBT_DRAWDOWNS")-SUMIFS('Supplemental_Movements'!$E$2:$E$361,'Supplemental_Movements'!$A$2:$A$361,A17,'Supplemental_Movements'!$C$2:$C$361,"DEBT_REPAYMENTS"))</x:f>
        <x:v>0</x:v>
      </x:c>
      <x:c r="F17" s="49" t="n">
        <x:f>('Financial_Statements'!N46+'Financial_Statements'!N49)-('Financial_Statements'!M46+'Financial_Statements'!M49-SUMIFS('Supplemental_Movements'!$E$2:$E$361,'Supplemental_Movements'!$A$2:$A$361,A17,'Supplemental_Movements'!$C$2:$C$361,"LEASE_PRINCIPAL"))</x:f>
        <x:v>0</x:v>
      </x:c>
      <x:c r="G17" s="18" t="str">
        <x:f>IF(MAX(ABS(B17),ABS(C17),ABS(D17),ABS(E17),ABS(F17))&lt;1,"OK","REVISAR")</x:f>
        <x:v>OK</x:v>
      </x:c>
    </x:row>
    <x:row r="18">
      <x:c r="A18" s="18" t="str">
        <x:v>2025-02</x:v>
      </x:c>
      <x:c r="B18" s="49" t="n">
        <x:f>'Financial_Statements'!O56</x:f>
        <x:v>0</x:v>
      </x:c>
      <x:c r="C18" s="49" t="n">
        <x:f>'Cash_Flow_Model'!O36</x:f>
        <x:v>0</x:v>
      </x:c>
      <x:c r="D18" s="49" t="n">
        <x:f>'Financial_Statements'!O53-('Financial_Statements'!N53+'Financial_Statements'!O30-SUMIFS('Supplemental_Movements'!$E$2:$E$361,'Supplemental_Movements'!$A$2:$A$361,A18,'Supplemental_Movements'!$C$2:$C$361,"DIVIDENDS"))</x:f>
        <x:v>0</x:v>
      </x:c>
      <x:c r="E18" s="49" t="n">
        <x:f>('Financial_Statements'!O45+'Financial_Statements'!O48)-('Financial_Statements'!N45+'Financial_Statements'!N48+SUMIFS('Supplemental_Movements'!$E$2:$E$361,'Supplemental_Movements'!$A$2:$A$361,A18,'Supplemental_Movements'!$C$2:$C$361,"DEBT_DRAWDOWNS")-SUMIFS('Supplemental_Movements'!$E$2:$E$361,'Supplemental_Movements'!$A$2:$A$361,A18,'Supplemental_Movements'!$C$2:$C$361,"DEBT_REPAYMENTS"))</x:f>
        <x:v>0</x:v>
      </x:c>
      <x:c r="F18" s="49" t="n">
        <x:f>('Financial_Statements'!O46+'Financial_Statements'!O49)-('Financial_Statements'!N46+'Financial_Statements'!N49-SUMIFS('Supplemental_Movements'!$E$2:$E$361,'Supplemental_Movements'!$A$2:$A$361,A18,'Supplemental_Movements'!$C$2:$C$361,"LEASE_PRINCIPAL"))</x:f>
        <x:v>0</x:v>
      </x:c>
      <x:c r="G18" s="18" t="str">
        <x:f>IF(MAX(ABS(B18),ABS(C18),ABS(D18),ABS(E18),ABS(F18))&lt;1,"OK","REVISAR")</x:f>
        <x:v>OK</x:v>
      </x:c>
    </x:row>
    <x:row r="19">
      <x:c r="A19" s="18" t="str">
        <x:v>2025-03</x:v>
      </x:c>
      <x:c r="B19" s="49" t="n">
        <x:f>'Financial_Statements'!P56</x:f>
        <x:v>0</x:v>
      </x:c>
      <x:c r="C19" s="49" t="n">
        <x:f>'Cash_Flow_Model'!P36</x:f>
        <x:v>0</x:v>
      </x:c>
      <x:c r="D19" s="49" t="n">
        <x:f>'Financial_Statements'!P53-('Financial_Statements'!O53+'Financial_Statements'!P30-SUMIFS('Supplemental_Movements'!$E$2:$E$361,'Supplemental_Movements'!$A$2:$A$361,A19,'Supplemental_Movements'!$C$2:$C$361,"DIVIDENDS"))</x:f>
        <x:v>0</x:v>
      </x:c>
      <x:c r="E19" s="49" t="n">
        <x:f>('Financial_Statements'!P45+'Financial_Statements'!P48)-('Financial_Statements'!O45+'Financial_Statements'!O48+SUMIFS('Supplemental_Movements'!$E$2:$E$361,'Supplemental_Movements'!$A$2:$A$361,A19,'Supplemental_Movements'!$C$2:$C$361,"DEBT_DRAWDOWNS")-SUMIFS('Supplemental_Movements'!$E$2:$E$361,'Supplemental_Movements'!$A$2:$A$361,A19,'Supplemental_Movements'!$C$2:$C$361,"DEBT_REPAYMENTS"))</x:f>
        <x:v>0</x:v>
      </x:c>
      <x:c r="F19" s="49" t="n">
        <x:f>('Financial_Statements'!P46+'Financial_Statements'!P49)-('Financial_Statements'!O46+'Financial_Statements'!O49-SUMIFS('Supplemental_Movements'!$E$2:$E$361,'Supplemental_Movements'!$A$2:$A$361,A19,'Supplemental_Movements'!$C$2:$C$361,"LEASE_PRINCIPAL"))</x:f>
        <x:v>0</x:v>
      </x:c>
      <x:c r="G19" s="18" t="str">
        <x:f>IF(MAX(ABS(B19),ABS(C19),ABS(D19),ABS(E19),ABS(F19))&lt;1,"OK","REVISAR")</x:f>
        <x:v>OK</x:v>
      </x:c>
    </x:row>
    <x:row r="20">
      <x:c r="A20" s="18" t="str">
        <x:v>2025-04</x:v>
      </x:c>
      <x:c r="B20" s="49" t="n">
        <x:f>'Financial_Statements'!Q56</x:f>
        <x:v>0</x:v>
      </x:c>
      <x:c r="C20" s="49" t="n">
        <x:f>'Cash_Flow_Model'!Q36</x:f>
        <x:v>0</x:v>
      </x:c>
      <x:c r="D20" s="49" t="n">
        <x:f>'Financial_Statements'!Q53-('Financial_Statements'!P53+'Financial_Statements'!Q30-SUMIFS('Supplemental_Movements'!$E$2:$E$361,'Supplemental_Movements'!$A$2:$A$361,A20,'Supplemental_Movements'!$C$2:$C$361,"DIVIDENDS"))</x:f>
        <x:v>0</x:v>
      </x:c>
      <x:c r="E20" s="49" t="n">
        <x:f>('Financial_Statements'!Q45+'Financial_Statements'!Q48)-('Financial_Statements'!P45+'Financial_Statements'!P48+SUMIFS('Supplemental_Movements'!$E$2:$E$361,'Supplemental_Movements'!$A$2:$A$361,A20,'Supplemental_Movements'!$C$2:$C$361,"DEBT_DRAWDOWNS")-SUMIFS('Supplemental_Movements'!$E$2:$E$361,'Supplemental_Movements'!$A$2:$A$361,A20,'Supplemental_Movements'!$C$2:$C$361,"DEBT_REPAYMENTS"))</x:f>
        <x:v>0</x:v>
      </x:c>
      <x:c r="F20" s="49" t="n">
        <x:f>('Financial_Statements'!Q46+'Financial_Statements'!Q49)-('Financial_Statements'!P46+'Financial_Statements'!P49-SUMIFS('Supplemental_Movements'!$E$2:$E$361,'Supplemental_Movements'!$A$2:$A$361,A20,'Supplemental_Movements'!$C$2:$C$361,"LEASE_PRINCIPAL"))</x:f>
        <x:v>0</x:v>
      </x:c>
      <x:c r="G20" s="18" t="str">
        <x:f>IF(MAX(ABS(B20),ABS(C20),ABS(D20),ABS(E20),ABS(F20))&lt;1,"OK","REVISAR")</x:f>
        <x:v>OK</x:v>
      </x:c>
    </x:row>
    <x:row r="21">
      <x:c r="A21" s="18" t="str">
        <x:v>2025-05</x:v>
      </x:c>
      <x:c r="B21" s="49" t="n">
        <x:f>'Financial_Statements'!R56</x:f>
        <x:v>0</x:v>
      </x:c>
      <x:c r="C21" s="49" t="n">
        <x:f>'Cash_Flow_Model'!R36</x:f>
        <x:v>0</x:v>
      </x:c>
      <x:c r="D21" s="49" t="n">
        <x:f>'Financial_Statements'!R53-('Financial_Statements'!Q53+'Financial_Statements'!R30-SUMIFS('Supplemental_Movements'!$E$2:$E$361,'Supplemental_Movements'!$A$2:$A$361,A21,'Supplemental_Movements'!$C$2:$C$361,"DIVIDENDS"))</x:f>
        <x:v>0</x:v>
      </x:c>
      <x:c r="E21" s="49" t="n">
        <x:f>('Financial_Statements'!R45+'Financial_Statements'!R48)-('Financial_Statements'!Q45+'Financial_Statements'!Q48+SUMIFS('Supplemental_Movements'!$E$2:$E$361,'Supplemental_Movements'!$A$2:$A$361,A21,'Supplemental_Movements'!$C$2:$C$361,"DEBT_DRAWDOWNS")-SUMIFS('Supplemental_Movements'!$E$2:$E$361,'Supplemental_Movements'!$A$2:$A$361,A21,'Supplemental_Movements'!$C$2:$C$361,"DEBT_REPAYMENTS"))</x:f>
        <x:v>0</x:v>
      </x:c>
      <x:c r="F21" s="49" t="n">
        <x:f>('Financial_Statements'!R46+'Financial_Statements'!R49)-('Financial_Statements'!Q46+'Financial_Statements'!Q49-SUMIFS('Supplemental_Movements'!$E$2:$E$361,'Supplemental_Movements'!$A$2:$A$361,A21,'Supplemental_Movements'!$C$2:$C$361,"LEASE_PRINCIPAL"))</x:f>
        <x:v>0</x:v>
      </x:c>
      <x:c r="G21" s="18" t="str">
        <x:f>IF(MAX(ABS(B21),ABS(C21),ABS(D21),ABS(E21),ABS(F21))&lt;1,"OK","REVISAR")</x:f>
        <x:v>OK</x:v>
      </x:c>
    </x:row>
    <x:row r="22">
      <x:c r="A22" s="18" t="str">
        <x:v>2025-06</x:v>
      </x:c>
      <x:c r="B22" s="49" t="n">
        <x:f>'Financial_Statements'!S56</x:f>
        <x:v>0</x:v>
      </x:c>
      <x:c r="C22" s="49" t="n">
        <x:f>'Cash_Flow_Model'!S36</x:f>
        <x:v>0</x:v>
      </x:c>
      <x:c r="D22" s="49" t="n">
        <x:f>'Financial_Statements'!S53-('Financial_Statements'!R53+'Financial_Statements'!S30-SUMIFS('Supplemental_Movements'!$E$2:$E$361,'Supplemental_Movements'!$A$2:$A$361,A22,'Supplemental_Movements'!$C$2:$C$361,"DIVIDENDS"))</x:f>
        <x:v>0</x:v>
      </x:c>
      <x:c r="E22" s="49" t="n">
        <x:f>('Financial_Statements'!S45+'Financial_Statements'!S48)-('Financial_Statements'!R45+'Financial_Statements'!R48+SUMIFS('Supplemental_Movements'!$E$2:$E$361,'Supplemental_Movements'!$A$2:$A$361,A22,'Supplemental_Movements'!$C$2:$C$361,"DEBT_DRAWDOWNS")-SUMIFS('Supplemental_Movements'!$E$2:$E$361,'Supplemental_Movements'!$A$2:$A$361,A22,'Supplemental_Movements'!$C$2:$C$361,"DEBT_REPAYMENTS"))</x:f>
        <x:v>0</x:v>
      </x:c>
      <x:c r="F22" s="49" t="n">
        <x:f>('Financial_Statements'!S46+'Financial_Statements'!S49)-('Financial_Statements'!R46+'Financial_Statements'!R49-SUMIFS('Supplemental_Movements'!$E$2:$E$361,'Supplemental_Movements'!$A$2:$A$361,A22,'Supplemental_Movements'!$C$2:$C$361,"LEASE_PRINCIPAL"))</x:f>
        <x:v>0</x:v>
      </x:c>
      <x:c r="G22" s="18" t="str">
        <x:f>IF(MAX(ABS(B22),ABS(C22),ABS(D22),ABS(E22),ABS(F22))&lt;1,"OK","REVISAR")</x:f>
        <x:v>OK</x:v>
      </x:c>
    </x:row>
    <x:row r="23">
      <x:c r="A23" s="18" t="str">
        <x:v>2025-07</x:v>
      </x:c>
      <x:c r="B23" s="49" t="n">
        <x:f>'Financial_Statements'!T56</x:f>
        <x:v>0</x:v>
      </x:c>
      <x:c r="C23" s="49" t="n">
        <x:f>'Cash_Flow_Model'!T36</x:f>
        <x:v>0</x:v>
      </x:c>
      <x:c r="D23" s="49" t="n">
        <x:f>'Financial_Statements'!T53-('Financial_Statements'!S53+'Financial_Statements'!T30-SUMIFS('Supplemental_Movements'!$E$2:$E$361,'Supplemental_Movements'!$A$2:$A$361,A23,'Supplemental_Movements'!$C$2:$C$361,"DIVIDENDS"))</x:f>
        <x:v>0</x:v>
      </x:c>
      <x:c r="E23" s="49" t="n">
        <x:f>('Financial_Statements'!T45+'Financial_Statements'!T48)-('Financial_Statements'!S45+'Financial_Statements'!S48+SUMIFS('Supplemental_Movements'!$E$2:$E$361,'Supplemental_Movements'!$A$2:$A$361,A23,'Supplemental_Movements'!$C$2:$C$361,"DEBT_DRAWDOWNS")-SUMIFS('Supplemental_Movements'!$E$2:$E$361,'Supplemental_Movements'!$A$2:$A$361,A23,'Supplemental_Movements'!$C$2:$C$361,"DEBT_REPAYMENTS"))</x:f>
        <x:v>0</x:v>
      </x:c>
      <x:c r="F23" s="49" t="n">
        <x:f>('Financial_Statements'!T46+'Financial_Statements'!T49)-('Financial_Statements'!S46+'Financial_Statements'!S49-SUMIFS('Supplemental_Movements'!$E$2:$E$361,'Supplemental_Movements'!$A$2:$A$361,A23,'Supplemental_Movements'!$C$2:$C$361,"LEASE_PRINCIPAL"))</x:f>
        <x:v>0</x:v>
      </x:c>
      <x:c r="G23" s="18" t="str">
        <x:f>IF(MAX(ABS(B23),ABS(C23),ABS(D23),ABS(E23),ABS(F23))&lt;1,"OK","REVISAR")</x:f>
        <x:v>OK</x:v>
      </x:c>
    </x:row>
    <x:row r="24">
      <x:c r="A24" s="18" t="str">
        <x:v>2025-08</x:v>
      </x:c>
      <x:c r="B24" s="49" t="n">
        <x:f>'Financial_Statements'!U56</x:f>
        <x:v>0</x:v>
      </x:c>
      <x:c r="C24" s="49" t="n">
        <x:f>'Cash_Flow_Model'!U36</x:f>
        <x:v>0</x:v>
      </x:c>
      <x:c r="D24" s="49" t="n">
        <x:f>'Financial_Statements'!U53-('Financial_Statements'!T53+'Financial_Statements'!U30-SUMIFS('Supplemental_Movements'!$E$2:$E$361,'Supplemental_Movements'!$A$2:$A$361,A24,'Supplemental_Movements'!$C$2:$C$361,"DIVIDENDS"))</x:f>
        <x:v>0</x:v>
      </x:c>
      <x:c r="E24" s="49" t="n">
        <x:f>('Financial_Statements'!U45+'Financial_Statements'!U48)-('Financial_Statements'!T45+'Financial_Statements'!T48+SUMIFS('Supplemental_Movements'!$E$2:$E$361,'Supplemental_Movements'!$A$2:$A$361,A24,'Supplemental_Movements'!$C$2:$C$361,"DEBT_DRAWDOWNS")-SUMIFS('Supplemental_Movements'!$E$2:$E$361,'Supplemental_Movements'!$A$2:$A$361,A24,'Supplemental_Movements'!$C$2:$C$361,"DEBT_REPAYMENTS"))</x:f>
        <x:v>0</x:v>
      </x:c>
      <x:c r="F24" s="49" t="n">
        <x:f>('Financial_Statements'!U46+'Financial_Statements'!U49)-('Financial_Statements'!T46+'Financial_Statements'!T49-SUMIFS('Supplemental_Movements'!$E$2:$E$361,'Supplemental_Movements'!$A$2:$A$361,A24,'Supplemental_Movements'!$C$2:$C$361,"LEASE_PRINCIPAL"))</x:f>
        <x:v>0</x:v>
      </x:c>
      <x:c r="G24" s="18" t="str">
        <x:f>IF(MAX(ABS(B24),ABS(C24),ABS(D24),ABS(E24),ABS(F24))&lt;1,"OK","REVISAR")</x:f>
        <x:v>OK</x:v>
      </x:c>
    </x:row>
    <x:row r="25">
      <x:c r="A25" s="18" t="str">
        <x:v>2025-09</x:v>
      </x:c>
      <x:c r="B25" s="49" t="n">
        <x:f>'Financial_Statements'!V56</x:f>
        <x:v>0</x:v>
      </x:c>
      <x:c r="C25" s="49" t="n">
        <x:f>'Cash_Flow_Model'!V36</x:f>
        <x:v>0</x:v>
      </x:c>
      <x:c r="D25" s="49" t="n">
        <x:f>'Financial_Statements'!V53-('Financial_Statements'!U53+'Financial_Statements'!V30-SUMIFS('Supplemental_Movements'!$E$2:$E$361,'Supplemental_Movements'!$A$2:$A$361,A25,'Supplemental_Movements'!$C$2:$C$361,"DIVIDENDS"))</x:f>
        <x:v>0</x:v>
      </x:c>
      <x:c r="E25" s="49" t="n">
        <x:f>('Financial_Statements'!V45+'Financial_Statements'!V48)-('Financial_Statements'!U45+'Financial_Statements'!U48+SUMIFS('Supplemental_Movements'!$E$2:$E$361,'Supplemental_Movements'!$A$2:$A$361,A25,'Supplemental_Movements'!$C$2:$C$361,"DEBT_DRAWDOWNS")-SUMIFS('Supplemental_Movements'!$E$2:$E$361,'Supplemental_Movements'!$A$2:$A$361,A25,'Supplemental_Movements'!$C$2:$C$361,"DEBT_REPAYMENTS"))</x:f>
        <x:v>0</x:v>
      </x:c>
      <x:c r="F25" s="49" t="n">
        <x:f>('Financial_Statements'!V46+'Financial_Statements'!V49)-('Financial_Statements'!U46+'Financial_Statements'!U49-SUMIFS('Supplemental_Movements'!$E$2:$E$361,'Supplemental_Movements'!$A$2:$A$361,A25,'Supplemental_Movements'!$C$2:$C$361,"LEASE_PRINCIPAL"))</x:f>
        <x:v>0</x:v>
      </x:c>
      <x:c r="G25" s="18" t="str">
        <x:f>IF(MAX(ABS(B25),ABS(C25),ABS(D25),ABS(E25),ABS(F25))&lt;1,"OK","REVISAR")</x:f>
        <x:v>OK</x:v>
      </x:c>
    </x:row>
    <x:row r="26">
      <x:c r="A26" s="18" t="str">
        <x:v>2025-10</x:v>
      </x:c>
      <x:c r="B26" s="49" t="n">
        <x:f>'Financial_Statements'!W56</x:f>
        <x:v>0</x:v>
      </x:c>
      <x:c r="C26" s="49" t="n">
        <x:f>'Cash_Flow_Model'!W36</x:f>
        <x:v>0</x:v>
      </x:c>
      <x:c r="D26" s="49" t="n">
        <x:f>'Financial_Statements'!W53-('Financial_Statements'!V53+'Financial_Statements'!W30-SUMIFS('Supplemental_Movements'!$E$2:$E$361,'Supplemental_Movements'!$A$2:$A$361,A26,'Supplemental_Movements'!$C$2:$C$361,"DIVIDENDS"))</x:f>
        <x:v>0</x:v>
      </x:c>
      <x:c r="E26" s="49" t="n">
        <x:f>('Financial_Statements'!W45+'Financial_Statements'!W48)-('Financial_Statements'!V45+'Financial_Statements'!V48+SUMIFS('Supplemental_Movements'!$E$2:$E$361,'Supplemental_Movements'!$A$2:$A$361,A26,'Supplemental_Movements'!$C$2:$C$361,"DEBT_DRAWDOWNS")-SUMIFS('Supplemental_Movements'!$E$2:$E$361,'Supplemental_Movements'!$A$2:$A$361,A26,'Supplemental_Movements'!$C$2:$C$361,"DEBT_REPAYMENTS"))</x:f>
        <x:v>0</x:v>
      </x:c>
      <x:c r="F26" s="49" t="n">
        <x:f>('Financial_Statements'!W46+'Financial_Statements'!W49)-('Financial_Statements'!V46+'Financial_Statements'!V49-SUMIFS('Supplemental_Movements'!$E$2:$E$361,'Supplemental_Movements'!$A$2:$A$361,A26,'Supplemental_Movements'!$C$2:$C$361,"LEASE_PRINCIPAL"))</x:f>
        <x:v>0</x:v>
      </x:c>
      <x:c r="G26" s="18" t="str">
        <x:f>IF(MAX(ABS(B26),ABS(C26),ABS(D26),ABS(E26),ABS(F26))&lt;1,"OK","REVISAR")</x:f>
        <x:v>OK</x:v>
      </x:c>
    </x:row>
    <x:row r="27">
      <x:c r="A27" s="18" t="str">
        <x:v>2025-11</x:v>
      </x:c>
      <x:c r="B27" s="49" t="n">
        <x:f>'Financial_Statements'!X56</x:f>
        <x:v>0</x:v>
      </x:c>
      <x:c r="C27" s="49" t="n">
        <x:f>'Cash_Flow_Model'!X36</x:f>
        <x:v>0</x:v>
      </x:c>
      <x:c r="D27" s="49" t="n">
        <x:f>'Financial_Statements'!X53-('Financial_Statements'!W53+'Financial_Statements'!X30-SUMIFS('Supplemental_Movements'!$E$2:$E$361,'Supplemental_Movements'!$A$2:$A$361,A27,'Supplemental_Movements'!$C$2:$C$361,"DIVIDENDS"))</x:f>
        <x:v>0</x:v>
      </x:c>
      <x:c r="E27" s="49" t="n">
        <x:f>('Financial_Statements'!X45+'Financial_Statements'!X48)-('Financial_Statements'!W45+'Financial_Statements'!W48+SUMIFS('Supplemental_Movements'!$E$2:$E$361,'Supplemental_Movements'!$A$2:$A$361,A27,'Supplemental_Movements'!$C$2:$C$361,"DEBT_DRAWDOWNS")-SUMIFS('Supplemental_Movements'!$E$2:$E$361,'Supplemental_Movements'!$A$2:$A$361,A27,'Supplemental_Movements'!$C$2:$C$361,"DEBT_REPAYMENTS"))</x:f>
        <x:v>0</x:v>
      </x:c>
      <x:c r="F27" s="49" t="n">
        <x:f>('Financial_Statements'!X46+'Financial_Statements'!X49)-('Financial_Statements'!W46+'Financial_Statements'!W49-SUMIFS('Supplemental_Movements'!$E$2:$E$361,'Supplemental_Movements'!$A$2:$A$361,A27,'Supplemental_Movements'!$C$2:$C$361,"LEASE_PRINCIPAL"))</x:f>
        <x:v>0</x:v>
      </x:c>
      <x:c r="G27" s="18" t="str">
        <x:f>IF(MAX(ABS(B27),ABS(C27),ABS(D27),ABS(E27),ABS(F27))&lt;1,"OK","REVISAR")</x:f>
        <x:v>OK</x:v>
      </x:c>
    </x:row>
    <x:row r="28">
      <x:c r="A28" s="18" t="str">
        <x:v>2025-12</x:v>
      </x:c>
      <x:c r="B28" s="49" t="n">
        <x:f>'Financial_Statements'!Y56</x:f>
        <x:v>0</x:v>
      </x:c>
      <x:c r="C28" s="49" t="n">
        <x:f>'Cash_Flow_Model'!Y36</x:f>
        <x:v>0</x:v>
      </x:c>
      <x:c r="D28" s="49" t="n">
        <x:f>'Financial_Statements'!Y53-('Financial_Statements'!X53+'Financial_Statements'!Y30-SUMIFS('Supplemental_Movements'!$E$2:$E$361,'Supplemental_Movements'!$A$2:$A$361,A28,'Supplemental_Movements'!$C$2:$C$361,"DIVIDENDS"))</x:f>
        <x:v>0</x:v>
      </x:c>
      <x:c r="E28" s="49" t="n">
        <x:f>('Financial_Statements'!Y45+'Financial_Statements'!Y48)-('Financial_Statements'!X45+'Financial_Statements'!X48+SUMIFS('Supplemental_Movements'!$E$2:$E$361,'Supplemental_Movements'!$A$2:$A$361,A28,'Supplemental_Movements'!$C$2:$C$361,"DEBT_DRAWDOWNS")-SUMIFS('Supplemental_Movements'!$E$2:$E$361,'Supplemental_Movements'!$A$2:$A$361,A28,'Supplemental_Movements'!$C$2:$C$361,"DEBT_REPAYMENTS"))</x:f>
        <x:v>0</x:v>
      </x:c>
      <x:c r="F28" s="49" t="n">
        <x:f>('Financial_Statements'!Y46+'Financial_Statements'!Y49)-('Financial_Statements'!X46+'Financial_Statements'!X49-SUMIFS('Supplemental_Movements'!$E$2:$E$361,'Supplemental_Movements'!$A$2:$A$361,A28,'Supplemental_Movements'!$C$2:$C$361,"LEASE_PRINCIPAL"))</x:f>
        <x:v>0</x:v>
      </x:c>
      <x:c r="G28" s="18" t="str">
        <x:f>IF(MAX(ABS(B28),ABS(C28),ABS(D28),ABS(E28),ABS(F28))&lt;1,"OK","REVISAR")</x:f>
        <x:v>OK</x:v>
      </x:c>
    </x:row>
    <x:row r="29">
      <x:c r="A29" s="18" t="str">
        <x:v>2026-01</x:v>
      </x:c>
      <x:c r="B29" s="49" t="n">
        <x:f>'Financial_Statements'!Z56</x:f>
        <x:v>0</x:v>
      </x:c>
      <x:c r="C29" s="49" t="n">
        <x:f>'Cash_Flow_Model'!Z36</x:f>
        <x:v>0</x:v>
      </x:c>
      <x:c r="D29" s="49" t="n">
        <x:f>'Financial_Statements'!Z53-('Financial_Statements'!Y53+'Financial_Statements'!Z30-SUMIFS('Supplemental_Movements'!$E$2:$E$361,'Supplemental_Movements'!$A$2:$A$361,A29,'Supplemental_Movements'!$C$2:$C$361,"DIVIDENDS"))</x:f>
        <x:v>0</x:v>
      </x:c>
      <x:c r="E29" s="49" t="n">
        <x:f>('Financial_Statements'!Z45+'Financial_Statements'!Z48)-('Financial_Statements'!Y45+'Financial_Statements'!Y48+SUMIFS('Supplemental_Movements'!$E$2:$E$361,'Supplemental_Movements'!$A$2:$A$361,A29,'Supplemental_Movements'!$C$2:$C$361,"DEBT_DRAWDOWNS")-SUMIFS('Supplemental_Movements'!$E$2:$E$361,'Supplemental_Movements'!$A$2:$A$361,A29,'Supplemental_Movements'!$C$2:$C$361,"DEBT_REPAYMENTS"))</x:f>
        <x:v>0</x:v>
      </x:c>
      <x:c r="F29" s="49" t="n">
        <x:f>('Financial_Statements'!Z46+'Financial_Statements'!Z49)-('Financial_Statements'!Y46+'Financial_Statements'!Y49-SUMIFS('Supplemental_Movements'!$E$2:$E$361,'Supplemental_Movements'!$A$2:$A$361,A29,'Supplemental_Movements'!$C$2:$C$361,"LEASE_PRINCIPAL"))</x:f>
        <x:v>0</x:v>
      </x:c>
      <x:c r="G29" s="18" t="str">
        <x:f>IF(MAX(ABS(B29),ABS(C29),ABS(D29),ABS(E29),ABS(F29))&lt;1,"OK","REVISAR")</x:f>
        <x:v>OK</x:v>
      </x:c>
    </x:row>
    <x:row r="30">
      <x:c r="A30" s="18" t="str">
        <x:v>2026-02</x:v>
      </x:c>
      <x:c r="B30" s="49" t="n">
        <x:f>'Financial_Statements'!AA56</x:f>
        <x:v>0</x:v>
      </x:c>
      <x:c r="C30" s="49" t="n">
        <x:f>'Cash_Flow_Model'!AA36</x:f>
        <x:v>0</x:v>
      </x:c>
      <x:c r="D30" s="49" t="n">
        <x:f>'Financial_Statements'!AA53-('Financial_Statements'!Z53+'Financial_Statements'!AA30-SUMIFS('Supplemental_Movements'!$E$2:$E$361,'Supplemental_Movements'!$A$2:$A$361,A30,'Supplemental_Movements'!$C$2:$C$361,"DIVIDENDS"))</x:f>
        <x:v>0</x:v>
      </x:c>
      <x:c r="E30" s="49" t="n">
        <x:f>('Financial_Statements'!AA45+'Financial_Statements'!AA48)-('Financial_Statements'!Z45+'Financial_Statements'!Z48+SUMIFS('Supplemental_Movements'!$E$2:$E$361,'Supplemental_Movements'!$A$2:$A$361,A30,'Supplemental_Movements'!$C$2:$C$361,"DEBT_DRAWDOWNS")-SUMIFS('Supplemental_Movements'!$E$2:$E$361,'Supplemental_Movements'!$A$2:$A$361,A30,'Supplemental_Movements'!$C$2:$C$361,"DEBT_REPAYMENTS"))</x:f>
        <x:v>0</x:v>
      </x:c>
      <x:c r="F30" s="49" t="n">
        <x:f>('Financial_Statements'!AA46+'Financial_Statements'!AA49)-('Financial_Statements'!Z46+'Financial_Statements'!Z49-SUMIFS('Supplemental_Movements'!$E$2:$E$361,'Supplemental_Movements'!$A$2:$A$361,A30,'Supplemental_Movements'!$C$2:$C$361,"LEASE_PRINCIPAL"))</x:f>
        <x:v>0</x:v>
      </x:c>
      <x:c r="G30" s="18" t="str">
        <x:f>IF(MAX(ABS(B30),ABS(C30),ABS(D30),ABS(E30),ABS(F30))&lt;1,"OK","REVISAR")</x:f>
        <x:v>OK</x:v>
      </x:c>
    </x:row>
    <x:row r="31">
      <x:c r="A31" s="18" t="str">
        <x:v>2026-03</x:v>
      </x:c>
      <x:c r="B31" s="49" t="n">
        <x:f>'Financial_Statements'!AB56</x:f>
        <x:v>0</x:v>
      </x:c>
      <x:c r="C31" s="49" t="n">
        <x:f>'Cash_Flow_Model'!AB36</x:f>
        <x:v>0</x:v>
      </x:c>
      <x:c r="D31" s="49" t="n">
        <x:f>'Financial_Statements'!AB53-('Financial_Statements'!AA53+'Financial_Statements'!AB30-SUMIFS('Supplemental_Movements'!$E$2:$E$361,'Supplemental_Movements'!$A$2:$A$361,A31,'Supplemental_Movements'!$C$2:$C$361,"DIVIDENDS"))</x:f>
        <x:v>0</x:v>
      </x:c>
      <x:c r="E31" s="49" t="n">
        <x:f>('Financial_Statements'!AB45+'Financial_Statements'!AB48)-('Financial_Statements'!AA45+'Financial_Statements'!AA48+SUMIFS('Supplemental_Movements'!$E$2:$E$361,'Supplemental_Movements'!$A$2:$A$361,A31,'Supplemental_Movements'!$C$2:$C$361,"DEBT_DRAWDOWNS")-SUMIFS('Supplemental_Movements'!$E$2:$E$361,'Supplemental_Movements'!$A$2:$A$361,A31,'Supplemental_Movements'!$C$2:$C$361,"DEBT_REPAYMENTS"))</x:f>
        <x:v>0</x:v>
      </x:c>
      <x:c r="F31" s="49" t="n">
        <x:f>('Financial_Statements'!AB46+'Financial_Statements'!AB49)-('Financial_Statements'!AA46+'Financial_Statements'!AA49-SUMIFS('Supplemental_Movements'!$E$2:$E$361,'Supplemental_Movements'!$A$2:$A$361,A31,'Supplemental_Movements'!$C$2:$C$361,"LEASE_PRINCIPAL"))</x:f>
        <x:v>0</x:v>
      </x:c>
      <x:c r="G31" s="18" t="str">
        <x:f>IF(MAX(ABS(B31),ABS(C31),ABS(D31),ABS(E31),ABS(F31))&lt;1,"OK","REVISAR")</x:f>
        <x:v>OK</x:v>
      </x:c>
    </x:row>
    <x:row r="32">
      <x:c r="A32" s="18" t="str">
        <x:v>2026-04</x:v>
      </x:c>
      <x:c r="B32" s="49" t="n">
        <x:f>'Financial_Statements'!AC56</x:f>
        <x:v>0</x:v>
      </x:c>
      <x:c r="C32" s="49" t="n">
        <x:f>'Cash_Flow_Model'!AC36</x:f>
        <x:v>0</x:v>
      </x:c>
      <x:c r="D32" s="49" t="n">
        <x:f>'Financial_Statements'!AC53-('Financial_Statements'!AB53+'Financial_Statements'!AC30-SUMIFS('Supplemental_Movements'!$E$2:$E$361,'Supplemental_Movements'!$A$2:$A$361,A32,'Supplemental_Movements'!$C$2:$C$361,"DIVIDENDS"))</x:f>
        <x:v>0</x:v>
      </x:c>
      <x:c r="E32" s="49" t="n">
        <x:f>('Financial_Statements'!AC45+'Financial_Statements'!AC48)-('Financial_Statements'!AB45+'Financial_Statements'!AB48+SUMIFS('Supplemental_Movements'!$E$2:$E$361,'Supplemental_Movements'!$A$2:$A$361,A32,'Supplemental_Movements'!$C$2:$C$361,"DEBT_DRAWDOWNS")-SUMIFS('Supplemental_Movements'!$E$2:$E$361,'Supplemental_Movements'!$A$2:$A$361,A32,'Supplemental_Movements'!$C$2:$C$361,"DEBT_REPAYMENTS"))</x:f>
        <x:v>0</x:v>
      </x:c>
      <x:c r="F32" s="49" t="n">
        <x:f>('Financial_Statements'!AC46+'Financial_Statements'!AC49)-('Financial_Statements'!AB46+'Financial_Statements'!AB49-SUMIFS('Supplemental_Movements'!$E$2:$E$361,'Supplemental_Movements'!$A$2:$A$361,A32,'Supplemental_Movements'!$C$2:$C$361,"LEASE_PRINCIPAL"))</x:f>
        <x:v>0</x:v>
      </x:c>
      <x:c r="G32" s="18" t="str">
        <x:f>IF(MAX(ABS(B32),ABS(C32),ABS(D32),ABS(E32),ABS(F32))&lt;1,"OK","REVISAR")</x:f>
        <x:v>OK</x:v>
      </x:c>
    </x:row>
    <x:row r="33">
      <x:c r="A33" s="18" t="str">
        <x:v>2026-05</x:v>
      </x:c>
      <x:c r="B33" s="49" t="n">
        <x:f>'Financial_Statements'!AD56</x:f>
        <x:v>0</x:v>
      </x:c>
      <x:c r="C33" s="49" t="n">
        <x:f>'Cash_Flow_Model'!AD36</x:f>
        <x:v>0</x:v>
      </x:c>
      <x:c r="D33" s="49" t="n">
        <x:f>'Financial_Statements'!AD53-('Financial_Statements'!AC53+'Financial_Statements'!AD30-SUMIFS('Supplemental_Movements'!$E$2:$E$361,'Supplemental_Movements'!$A$2:$A$361,A33,'Supplemental_Movements'!$C$2:$C$361,"DIVIDENDS"))</x:f>
        <x:v>0</x:v>
      </x:c>
      <x:c r="E33" s="49" t="n">
        <x:f>('Financial_Statements'!AD45+'Financial_Statements'!AD48)-('Financial_Statements'!AC45+'Financial_Statements'!AC48+SUMIFS('Supplemental_Movements'!$E$2:$E$361,'Supplemental_Movements'!$A$2:$A$361,A33,'Supplemental_Movements'!$C$2:$C$361,"DEBT_DRAWDOWNS")-SUMIFS('Supplemental_Movements'!$E$2:$E$361,'Supplemental_Movements'!$A$2:$A$361,A33,'Supplemental_Movements'!$C$2:$C$361,"DEBT_REPAYMENTS"))</x:f>
        <x:v>0</x:v>
      </x:c>
      <x:c r="F33" s="49" t="n">
        <x:f>('Financial_Statements'!AD46+'Financial_Statements'!AD49)-('Financial_Statements'!AC46+'Financial_Statements'!AC49-SUMIFS('Supplemental_Movements'!$E$2:$E$361,'Supplemental_Movements'!$A$2:$A$361,A33,'Supplemental_Movements'!$C$2:$C$361,"LEASE_PRINCIPAL"))</x:f>
        <x:v>0</x:v>
      </x:c>
      <x:c r="G33" s="18" t="str">
        <x:f>IF(MAX(ABS(B33),ABS(C33),ABS(D33),ABS(E33),ABS(F33))&lt;1,"OK","REVISAR")</x:f>
        <x:v>OK</x:v>
      </x:c>
    </x:row>
    <x:row r="34">
      <x:c r="A34" s="18" t="str">
        <x:v>2026-06</x:v>
      </x:c>
      <x:c r="B34" s="49" t="n">
        <x:f>'Financial_Statements'!AE56</x:f>
        <x:v>0</x:v>
      </x:c>
      <x:c r="C34" s="49" t="n">
        <x:f>'Cash_Flow_Model'!AE36</x:f>
        <x:v>0</x:v>
      </x:c>
      <x:c r="D34" s="49" t="n">
        <x:f>'Financial_Statements'!AE53-('Financial_Statements'!AD53+'Financial_Statements'!AE30-SUMIFS('Supplemental_Movements'!$E$2:$E$361,'Supplemental_Movements'!$A$2:$A$361,A34,'Supplemental_Movements'!$C$2:$C$361,"DIVIDENDS"))</x:f>
        <x:v>0</x:v>
      </x:c>
      <x:c r="E34" s="49" t="n">
        <x:f>('Financial_Statements'!AE45+'Financial_Statements'!AE48)-('Financial_Statements'!AD45+'Financial_Statements'!AD48+SUMIFS('Supplemental_Movements'!$E$2:$E$361,'Supplemental_Movements'!$A$2:$A$361,A34,'Supplemental_Movements'!$C$2:$C$361,"DEBT_DRAWDOWNS")-SUMIFS('Supplemental_Movements'!$E$2:$E$361,'Supplemental_Movements'!$A$2:$A$361,A34,'Supplemental_Movements'!$C$2:$C$361,"DEBT_REPAYMENTS"))</x:f>
        <x:v>0</x:v>
      </x:c>
      <x:c r="F34" s="49" t="n">
        <x:f>('Financial_Statements'!AE46+'Financial_Statements'!AE49)-('Financial_Statements'!AD46+'Financial_Statements'!AD49-SUMIFS('Supplemental_Movements'!$E$2:$E$361,'Supplemental_Movements'!$A$2:$A$361,A34,'Supplemental_Movements'!$C$2:$C$361,"LEASE_PRINCIPAL"))</x:f>
        <x:v>0</x:v>
      </x:c>
      <x:c r="G34" s="18" t="str">
        <x:f>IF(MAX(ABS(B34),ABS(C34),ABS(D34),ABS(E34),ABS(F34))&lt;1,"OK","REVISAR")</x:f>
        <x:v>OK</x:v>
      </x:c>
    </x:row>
    <x:row r="35">
      <x:c r="A35" s="18" t="str">
        <x:v>2026-07</x:v>
      </x:c>
      <x:c r="B35" s="49" t="n">
        <x:f>'Financial_Statements'!AF56</x:f>
        <x:v>0</x:v>
      </x:c>
      <x:c r="C35" s="49" t="n">
        <x:f>'Cash_Flow_Model'!AF36</x:f>
        <x:v>0</x:v>
      </x:c>
      <x:c r="D35" s="49" t="n">
        <x:f>'Financial_Statements'!AF53-('Financial_Statements'!AE53+'Financial_Statements'!AF30-SUMIFS('Supplemental_Movements'!$E$2:$E$361,'Supplemental_Movements'!$A$2:$A$361,A35,'Supplemental_Movements'!$C$2:$C$361,"DIVIDENDS"))</x:f>
        <x:v>0</x:v>
      </x:c>
      <x:c r="E35" s="49" t="n">
        <x:f>('Financial_Statements'!AF45+'Financial_Statements'!AF48)-('Financial_Statements'!AE45+'Financial_Statements'!AE48+SUMIFS('Supplemental_Movements'!$E$2:$E$361,'Supplemental_Movements'!$A$2:$A$361,A35,'Supplemental_Movements'!$C$2:$C$361,"DEBT_DRAWDOWNS")-SUMIFS('Supplemental_Movements'!$E$2:$E$361,'Supplemental_Movements'!$A$2:$A$361,A35,'Supplemental_Movements'!$C$2:$C$361,"DEBT_REPAYMENTS"))</x:f>
        <x:v>0</x:v>
      </x:c>
      <x:c r="F35" s="49" t="n">
        <x:f>('Financial_Statements'!AF46+'Financial_Statements'!AF49)-('Financial_Statements'!AE46+'Financial_Statements'!AE49-SUMIFS('Supplemental_Movements'!$E$2:$E$361,'Supplemental_Movements'!$A$2:$A$361,A35,'Supplemental_Movements'!$C$2:$C$361,"LEASE_PRINCIPAL"))</x:f>
        <x:v>0</x:v>
      </x:c>
      <x:c r="G35" s="18" t="str">
        <x:f>IF(MAX(ABS(B35),ABS(C35),ABS(D35),ABS(E35),ABS(F35))&lt;1,"OK","REVISAR")</x:f>
        <x:v>OK</x:v>
      </x:c>
    </x:row>
    <x:row r="36">
      <x:c r="A36" s="18" t="str">
        <x:v>2026-08</x:v>
      </x:c>
      <x:c r="B36" s="49" t="n">
        <x:f>'Financial_Statements'!AG56</x:f>
        <x:v>0</x:v>
      </x:c>
      <x:c r="C36" s="49" t="n">
        <x:f>'Cash_Flow_Model'!AG36</x:f>
        <x:v>0</x:v>
      </x:c>
      <x:c r="D36" s="49" t="n">
        <x:f>'Financial_Statements'!AG53-('Financial_Statements'!AF53+'Financial_Statements'!AG30-SUMIFS('Supplemental_Movements'!$E$2:$E$361,'Supplemental_Movements'!$A$2:$A$361,A36,'Supplemental_Movements'!$C$2:$C$361,"DIVIDENDS"))</x:f>
        <x:v>0</x:v>
      </x:c>
      <x:c r="E36" s="49" t="n">
        <x:f>('Financial_Statements'!AG45+'Financial_Statements'!AG48)-('Financial_Statements'!AF45+'Financial_Statements'!AF48+SUMIFS('Supplemental_Movements'!$E$2:$E$361,'Supplemental_Movements'!$A$2:$A$361,A36,'Supplemental_Movements'!$C$2:$C$361,"DEBT_DRAWDOWNS")-SUMIFS('Supplemental_Movements'!$E$2:$E$361,'Supplemental_Movements'!$A$2:$A$361,A36,'Supplemental_Movements'!$C$2:$C$361,"DEBT_REPAYMENTS"))</x:f>
        <x:v>0</x:v>
      </x:c>
      <x:c r="F36" s="49" t="n">
        <x:f>('Financial_Statements'!AG46+'Financial_Statements'!AG49)-('Financial_Statements'!AF46+'Financial_Statements'!AF49-SUMIFS('Supplemental_Movements'!$E$2:$E$361,'Supplemental_Movements'!$A$2:$A$361,A36,'Supplemental_Movements'!$C$2:$C$361,"LEASE_PRINCIPAL"))</x:f>
        <x:v>0</x:v>
      </x:c>
      <x:c r="G36" s="18" t="str">
        <x:f>IF(MAX(ABS(B36),ABS(C36),ABS(D36),ABS(E36),ABS(F36))&lt;1,"OK","REVISAR")</x:f>
        <x:v>OK</x:v>
      </x:c>
    </x:row>
    <x:row r="37">
      <x:c r="A37" s="18" t="str">
        <x:v>2026-09</x:v>
      </x:c>
      <x:c r="B37" s="49" t="n">
        <x:f>'Financial_Statements'!AH56</x:f>
        <x:v>0</x:v>
      </x:c>
      <x:c r="C37" s="49" t="n">
        <x:f>'Cash_Flow_Model'!AH36</x:f>
        <x:v>0</x:v>
      </x:c>
      <x:c r="D37" s="49" t="n">
        <x:f>'Financial_Statements'!AH53-('Financial_Statements'!AG53+'Financial_Statements'!AH30-SUMIFS('Supplemental_Movements'!$E$2:$E$361,'Supplemental_Movements'!$A$2:$A$361,A37,'Supplemental_Movements'!$C$2:$C$361,"DIVIDENDS"))</x:f>
        <x:v>0</x:v>
      </x:c>
      <x:c r="E37" s="49" t="n">
        <x:f>('Financial_Statements'!AH45+'Financial_Statements'!AH48)-('Financial_Statements'!AG45+'Financial_Statements'!AG48+SUMIFS('Supplemental_Movements'!$E$2:$E$361,'Supplemental_Movements'!$A$2:$A$361,A37,'Supplemental_Movements'!$C$2:$C$361,"DEBT_DRAWDOWNS")-SUMIFS('Supplemental_Movements'!$E$2:$E$361,'Supplemental_Movements'!$A$2:$A$361,A37,'Supplemental_Movements'!$C$2:$C$361,"DEBT_REPAYMENTS"))</x:f>
        <x:v>0</x:v>
      </x:c>
      <x:c r="F37" s="49" t="n">
        <x:f>('Financial_Statements'!AH46+'Financial_Statements'!AH49)-('Financial_Statements'!AG46+'Financial_Statements'!AG49-SUMIFS('Supplemental_Movements'!$E$2:$E$361,'Supplemental_Movements'!$A$2:$A$361,A37,'Supplemental_Movements'!$C$2:$C$361,"LEASE_PRINCIPAL"))</x:f>
        <x:v>0</x:v>
      </x:c>
      <x:c r="G37" s="18" t="str">
        <x:f>IF(MAX(ABS(B37),ABS(C37),ABS(D37),ABS(E37),ABS(F37))&lt;1,"OK","REVISAR")</x:f>
        <x:v>OK</x:v>
      </x:c>
    </x:row>
    <x:row r="38">
      <x:c r="A38" s="18" t="str">
        <x:v>2026-10</x:v>
      </x:c>
      <x:c r="B38" s="49" t="n">
        <x:f>'Financial_Statements'!AI56</x:f>
        <x:v>0</x:v>
      </x:c>
      <x:c r="C38" s="49" t="n">
        <x:f>'Cash_Flow_Model'!AI36</x:f>
        <x:v>0</x:v>
      </x:c>
      <x:c r="D38" s="49" t="n">
        <x:f>'Financial_Statements'!AI53-('Financial_Statements'!AH53+'Financial_Statements'!AI30-SUMIFS('Supplemental_Movements'!$E$2:$E$361,'Supplemental_Movements'!$A$2:$A$361,A38,'Supplemental_Movements'!$C$2:$C$361,"DIVIDENDS"))</x:f>
        <x:v>0</x:v>
      </x:c>
      <x:c r="E38" s="49" t="n">
        <x:f>('Financial_Statements'!AI45+'Financial_Statements'!AI48)-('Financial_Statements'!AH45+'Financial_Statements'!AH48+SUMIFS('Supplemental_Movements'!$E$2:$E$361,'Supplemental_Movements'!$A$2:$A$361,A38,'Supplemental_Movements'!$C$2:$C$361,"DEBT_DRAWDOWNS")-SUMIFS('Supplemental_Movements'!$E$2:$E$361,'Supplemental_Movements'!$A$2:$A$361,A38,'Supplemental_Movements'!$C$2:$C$361,"DEBT_REPAYMENTS"))</x:f>
        <x:v>0</x:v>
      </x:c>
      <x:c r="F38" s="49" t="n">
        <x:f>('Financial_Statements'!AI46+'Financial_Statements'!AI49)-('Financial_Statements'!AH46+'Financial_Statements'!AH49-SUMIFS('Supplemental_Movements'!$E$2:$E$361,'Supplemental_Movements'!$A$2:$A$361,A38,'Supplemental_Movements'!$C$2:$C$361,"LEASE_PRINCIPAL"))</x:f>
        <x:v>0</x:v>
      </x:c>
      <x:c r="G38" s="18" t="str">
        <x:f>IF(MAX(ABS(B38),ABS(C38),ABS(D38),ABS(E38),ABS(F38))&lt;1,"OK","REVISAR")</x:f>
        <x:v>OK</x:v>
      </x:c>
    </x:row>
    <x:row r="39">
      <x:c r="A39" s="18" t="str">
        <x:v>2026-11</x:v>
      </x:c>
      <x:c r="B39" s="49" t="n">
        <x:f>'Financial_Statements'!AJ56</x:f>
        <x:v>0</x:v>
      </x:c>
      <x:c r="C39" s="49" t="n">
        <x:f>'Cash_Flow_Model'!AJ36</x:f>
        <x:v>0</x:v>
      </x:c>
      <x:c r="D39" s="49" t="n">
        <x:f>'Financial_Statements'!AJ53-('Financial_Statements'!AI53+'Financial_Statements'!AJ30-SUMIFS('Supplemental_Movements'!$E$2:$E$361,'Supplemental_Movements'!$A$2:$A$361,A39,'Supplemental_Movements'!$C$2:$C$361,"DIVIDENDS"))</x:f>
        <x:v>0</x:v>
      </x:c>
      <x:c r="E39" s="49" t="n">
        <x:f>('Financial_Statements'!AJ45+'Financial_Statements'!AJ48)-('Financial_Statements'!AI45+'Financial_Statements'!AI48+SUMIFS('Supplemental_Movements'!$E$2:$E$361,'Supplemental_Movements'!$A$2:$A$361,A39,'Supplemental_Movements'!$C$2:$C$361,"DEBT_DRAWDOWNS")-SUMIFS('Supplemental_Movements'!$E$2:$E$361,'Supplemental_Movements'!$A$2:$A$361,A39,'Supplemental_Movements'!$C$2:$C$361,"DEBT_REPAYMENTS"))</x:f>
        <x:v>0</x:v>
      </x:c>
      <x:c r="F39" s="49" t="n">
        <x:f>('Financial_Statements'!AJ46+'Financial_Statements'!AJ49)-('Financial_Statements'!AI46+'Financial_Statements'!AI49-SUMIFS('Supplemental_Movements'!$E$2:$E$361,'Supplemental_Movements'!$A$2:$A$361,A39,'Supplemental_Movements'!$C$2:$C$361,"LEASE_PRINCIPAL"))</x:f>
        <x:v>0</x:v>
      </x:c>
      <x:c r="G39" s="18" t="str">
        <x:f>IF(MAX(ABS(B39),ABS(C39),ABS(D39),ABS(E39),ABS(F39))&lt;1,"OK","REVISAR")</x:f>
        <x:v>OK</x:v>
      </x:c>
    </x:row>
    <x:row r="40">
      <x:c r="A40" s="18" t="str">
        <x:v>2026-12</x:v>
      </x:c>
      <x:c r="B40" s="49" t="n">
        <x:f>'Financial_Statements'!AK56</x:f>
        <x:v>0</x:v>
      </x:c>
      <x:c r="C40" s="49" t="n">
        <x:f>'Cash_Flow_Model'!AK36</x:f>
        <x:v>0</x:v>
      </x:c>
      <x:c r="D40" s="49" t="n">
        <x:f>'Financial_Statements'!AK53-('Financial_Statements'!AJ53+'Financial_Statements'!AK30-SUMIFS('Supplemental_Movements'!$E$2:$E$361,'Supplemental_Movements'!$A$2:$A$361,A40,'Supplemental_Movements'!$C$2:$C$361,"DIVIDENDS"))</x:f>
        <x:v>0</x:v>
      </x:c>
      <x:c r="E40" s="49" t="n">
        <x:f>('Financial_Statements'!AK45+'Financial_Statements'!AK48)-('Financial_Statements'!AJ45+'Financial_Statements'!AJ48+SUMIFS('Supplemental_Movements'!$E$2:$E$361,'Supplemental_Movements'!$A$2:$A$361,A40,'Supplemental_Movements'!$C$2:$C$361,"DEBT_DRAWDOWNS")-SUMIFS('Supplemental_Movements'!$E$2:$E$361,'Supplemental_Movements'!$A$2:$A$361,A40,'Supplemental_Movements'!$C$2:$C$361,"DEBT_REPAYMENTS"))</x:f>
        <x:v>0</x:v>
      </x:c>
      <x:c r="F40" s="49" t="n">
        <x:f>('Financial_Statements'!AK46+'Financial_Statements'!AK49)-('Financial_Statements'!AJ46+'Financial_Statements'!AJ49-SUMIFS('Supplemental_Movements'!$E$2:$E$361,'Supplemental_Movements'!$A$2:$A$361,A40,'Supplemental_Movements'!$C$2:$C$361,"LEASE_PRINCIPAL"))</x:f>
        <x:v>0</x:v>
      </x:c>
      <x:c r="G40" s="18" t="str">
        <x:f>IF(MAX(ABS(B40),ABS(C40),ABS(D40),ABS(E40),ABS(F40))&lt;1,"OK","REVISAR")</x:f>
        <x:v>OK</x:v>
      </x:c>
    </x:row>
    <x:row r="43" ht="26" customHeight="1">
      <x:c r="A43" s="11" t="str">
        <x:v>Control global</x:v>
      </x:c>
      <x:c r="B43" s="11" t="str">
        <x:v>Resultado</x:v>
      </x:c>
    </x:row>
    <x:row r="44">
      <x:c r="A44" s="14" t="str">
        <x:v>Periodos esperados</x:v>
      </x:c>
      <x:c r="B44" s="14" t="n">
        <x:v>36</x:v>
      </x:c>
    </x:row>
    <x:row r="45">
      <x:c r="A45" s="14" t="str">
        <x:v>Periodos con estado OK</x:v>
      </x:c>
      <x:c r="B45" s="14" t="n">
        <x:f>COUNTIF(G5:G40,"OK")</x:f>
        <x:v>36</x:v>
      </x:c>
    </x:row>
    <x:row r="46">
      <x:c r="A46" s="14" t="str">
        <x:v>Filas P&amp;L esperadas</x:v>
      </x:c>
      <x:c r="B46" s="14" t="n">
        <x:v>612</x:v>
      </x:c>
    </x:row>
    <x:row r="47">
      <x:c r="A47" s="14" t="str">
        <x:v>Filas balance esperadas</x:v>
      </x:c>
      <x:c r="B47" s="14" t="n">
        <x:v>629</x:v>
      </x:c>
    </x:row>
  </x:sheetData>
  <x:mergeCells>
    <x:mergeCell ref="A1:G1"/>
    <x:mergeCell ref="A2:G2"/>
  </x:mergeCells>
  <x:conditionalFormatting sqref="G5:G40">
    <x:cfRule type="expression" dxfId="0" priority="1">
      <x:formula>G5="REVISAR"</x:formula>
    </x:cfRule>
    <x:cfRule type="expression" dxfId="1" priority="2">
      <x:formula>G5="OK"</x:formula>
    </x:cfRule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34" customHeight="1">
      <x:c r="A1" s="130" t="str">
        <x:v>Análisis del caso · Cash Flow &amp; Financial Health</x:v>
      </x:c>
      <x:c r="B1" s="130" t="str">
        <x:v>Análisis del caso · Cash Flow &amp; Financial Health</x:v>
      </x:c>
      <x:c r="C1" s="130" t="str">
        <x:v>Análisis del caso · Cash Flow &amp; Financial Health</x:v>
      </x:c>
      <x:c r="D1" s="130" t="str">
        <x:v>Análisis del caso · Cash Flow &amp; Financial Health</x:v>
      </x:c>
      <x:c r="E1" s="130" t="str">
        <x:v>Análisis del caso · Cash Flow &amp; Financial Health</x:v>
      </x:c>
      <x:c r="F1" s="130" t="str">
        <x:v>Análisis del caso · Cash Flow &amp; Financial Health</x:v>
      </x:c>
      <x:c r="G1" s="130" t="str">
        <x:v>Análisis del caso · Cash Flow &amp; Financial Health</x:v>
      </x:c>
      <x:c r="H1" s="130" t="str">
        <x:v>Análisis del caso · Cash Flow &amp; Financial Health</x:v>
      </x:c>
      <x:c r="I1" s="130" t="str">
        <x:v>Análisis del caso · Cash Flow &amp; Financial Health</x:v>
      </x:c>
      <x:c r="J1" s="130" t="str">
        <x:v>Análisis del caso · Cash Flow &amp; Financial Health</x:v>
      </x:c>
      <x:c r="K1" s="130" t="str">
        <x:v>Análisis del caso · Cash Flow &amp; Financial Health</x:v>
      </x:c>
      <x:c r="L1" s="130" t="str">
        <x:v>Análisis del caso · Cash Flow &amp; Financial Health</x:v>
      </x:c>
      <x:c r="M1" s="130" t="str">
        <x:v>Análisis del caso · Cash Flow &amp; Financial Health</x:v>
      </x:c>
      <x:c r="N1" s="130" t="str">
        <x:v>Análisis del caso · Cash Flow &amp; Financial Health</x:v>
      </x:c>
      <x:c r="O1" s="130" t="str">
        <x:v>Análisis del caso · Cash Flow &amp; Financial Health</x:v>
      </x:c>
      <x:c r="P1" s="130" t="str">
        <x:v>Análisis del caso · Cash Flow &amp; Financial Health</x:v>
      </x:c>
      <x:c r="Q1" s="130" t="str">
        <x:v>Análisis del caso · Cash Flow &amp; Financial Health</x:v>
      </x:c>
      <x:c r="R1" s="130" t="str">
        <x:v>Análisis del caso · Cash Flow &amp; Financial Health</x:v>
      </x:c>
      <x:c r="S1" s="130" t="str">
        <x:v>Análisis del caso · Cash Flow &amp; Financial Health</x:v>
      </x:c>
      <x:c r="T1" s="130" t="str">
        <x:v>Análisis del caso · Cash Flow &amp; Financial Health</x:v>
      </x:c>
      <x:c r="U1" s="130" t="str">
        <x:v>Análisis del caso · Cash Flow &amp; Financial Health</x:v>
      </x:c>
      <x:c r="V1" s="130" t="str">
        <x:v>Análisis del caso · Cash Flow &amp; Financial Health</x:v>
      </x:c>
    </x:row>
    <x:row r="2" ht="28" customHeight="1">
      <x:c r="A2" s="133" t="str">
        <x:v>PROYECTO DEMOSTRATIVO · DATOS SIMULADOS · Todos los indicadores están vinculados al modelo contable y al cash flow indirecto.</x:v>
      </x:c>
      <x:c r="B2" s="133" t="str">
        <x:v>PROYECTO DEMOSTRATIVO · DATOS SIMULADOS · Todos los indicadores están vinculados al modelo contable y al cash flow indirecto.</x:v>
      </x:c>
      <x:c r="C2" s="133" t="str">
        <x:v>PROYECTO DEMOSTRATIVO · DATOS SIMULADOS · Todos los indicadores están vinculados al modelo contable y al cash flow indirecto.</x:v>
      </x:c>
      <x:c r="D2" s="133" t="str">
        <x:v>PROYECTO DEMOSTRATIVO · DATOS SIMULADOS · Todos los indicadores están vinculados al modelo contable y al cash flow indirecto.</x:v>
      </x:c>
      <x:c r="E2" s="133" t="str">
        <x:v>PROYECTO DEMOSTRATIVO · DATOS SIMULADOS · Todos los indicadores están vinculados al modelo contable y al cash flow indirecto.</x:v>
      </x:c>
      <x:c r="F2" s="133" t="str">
        <x:v>PROYECTO DEMOSTRATIVO · DATOS SIMULADOS · Todos los indicadores están vinculados al modelo contable y al cash flow indirecto.</x:v>
      </x:c>
      <x:c r="G2" s="133" t="str">
        <x:v>PROYECTO DEMOSTRATIVO · DATOS SIMULADOS · Todos los indicadores están vinculados al modelo contable y al cash flow indirecto.</x:v>
      </x:c>
      <x:c r="H2" s="133" t="str">
        <x:v>PROYECTO DEMOSTRATIVO · DATOS SIMULADOS · Todos los indicadores están vinculados al modelo contable y al cash flow indirecto.</x:v>
      </x:c>
      <x:c r="I2" s="133" t="str">
        <x:v>PROYECTO DEMOSTRATIVO · DATOS SIMULADOS · Todos los indicadores están vinculados al modelo contable y al cash flow indirecto.</x:v>
      </x:c>
      <x:c r="J2" s="133" t="str">
        <x:v>PROYECTO DEMOSTRATIVO · DATOS SIMULADOS · Todos los indicadores están vinculados al modelo contable y al cash flow indirecto.</x:v>
      </x:c>
      <x:c r="K2" s="133" t="str">
        <x:v>PROYECTO DEMOSTRATIVO · DATOS SIMULADOS · Todos los indicadores están vinculados al modelo contable y al cash flow indirecto.</x:v>
      </x:c>
      <x:c r="L2" s="133" t="str">
        <x:v>PROYECTO DEMOSTRATIVO · DATOS SIMULADOS · Todos los indicadores están vinculados al modelo contable y al cash flow indirecto.</x:v>
      </x:c>
      <x:c r="M2" s="133" t="str">
        <x:v>PROYECTO DEMOSTRATIVO · DATOS SIMULADOS · Todos los indicadores están vinculados al modelo contable y al cash flow indirecto.</x:v>
      </x:c>
      <x:c r="N2" s="133" t="str">
        <x:v>PROYECTO DEMOSTRATIVO · DATOS SIMULADOS · Todos los indicadores están vinculados al modelo contable y al cash flow indirecto.</x:v>
      </x:c>
      <x:c r="O2" s="133" t="str">
        <x:v>PROYECTO DEMOSTRATIVO · DATOS SIMULADOS · Todos los indicadores están vinculados al modelo contable y al cash flow indirecto.</x:v>
      </x:c>
      <x:c r="P2" s="133" t="str">
        <x:v>PROYECTO DEMOSTRATIVO · DATOS SIMULADOS · Todos los indicadores están vinculados al modelo contable y al cash flow indirecto.</x:v>
      </x:c>
      <x:c r="Q2" s="133" t="str">
        <x:v>PROYECTO DEMOSTRATIVO · DATOS SIMULADOS · Todos los indicadores están vinculados al modelo contable y al cash flow indirecto.</x:v>
      </x:c>
      <x:c r="R2" s="133" t="str">
        <x:v>PROYECTO DEMOSTRATIVO · DATOS SIMULADOS · Todos los indicadores están vinculados al modelo contable y al cash flow indirecto.</x:v>
      </x:c>
      <x:c r="S2" s="133" t="str">
        <x:v>PROYECTO DEMOSTRATIVO · DATOS SIMULADOS · Todos los indicadores están vinculados al modelo contable y al cash flow indirecto.</x:v>
      </x:c>
      <x:c r="T2" s="133" t="str">
        <x:v>PROYECTO DEMOSTRATIVO · DATOS SIMULADOS · Todos los indicadores están vinculados al modelo contable y al cash flow indirecto.</x:v>
      </x:c>
      <x:c r="U2" s="133" t="str">
        <x:v>PROYECTO DEMOSTRATIVO · DATOS SIMULADOS · Todos los indicadores están vinculados al modelo contable y al cash flow indirecto.</x:v>
      </x:c>
      <x:c r="V2" s="133" t="str">
        <x:v>PROYECTO DEMOSTRATIVO · DATOS SIMULADOS · Todos los indicadores están vinculados al modelo contable y al cash flow indirecto.</x:v>
      </x:c>
    </x:row>
    <x:row r="4" ht="28" customHeight="1">
      <x:c r="A4" s="137" t="str">
        <x:v>KPI</x:v>
      </x:c>
      <x:c r="B4" s="137" t="str">
        <x:v>2024</x:v>
      </x:c>
      <x:c r="C4" s="137" t="str">
        <x:v>2025</x:v>
      </x:c>
      <x:c r="D4" s="137" t="str">
        <x:v>2026</x:v>
      </x:c>
      <x:c r="E4" s="137" t="str">
        <x:v>Lectura</x:v>
      </x:c>
      <x:c r="G4" s="137" t="str">
        <x:v>Año</x:v>
      </x:c>
      <x:c r="H4" s="137" t="str">
        <x:v>EBITDA</x:v>
      </x:c>
      <x:c r="I4" s="137" t="str">
        <x:v>Resultado neto</x:v>
      </x:c>
      <x:c r="J4" s="137" t="str">
        <x:v>CFO</x:v>
      </x:c>
      <x:c r="K4" s="137" t="str">
        <x:v>FCF</x:v>
      </x:c>
    </x:row>
    <x:row r="5" ht="32" customHeight="1">
      <x:c r="A5" s="141" t="str">
        <x:v>Ingresos</x:v>
      </x:c>
      <x:c r="B5" s="142" t="n">
        <x:f>SUM('Financial_Statements'!B7:M7)</x:f>
        <x:v>36625782</x:v>
      </x:c>
      <x:c r="C5" s="142" t="n">
        <x:f>SUM('Financial_Statements'!N7:Y7)</x:f>
        <x:v>38595427</x:v>
      </x:c>
      <x:c r="D5" s="142" t="n">
        <x:f>SUM('Financial_Statements'!Z7:AK7)</x:f>
        <x:v>42971983</x:v>
      </x:c>
      <x:c r="E5" s="140" t="str">
        <x:v>Escala y crecimiento de la actividad</x:v>
      </x:c>
      <x:c r="G5" t="n">
        <x:v>2024</x:v>
      </x:c>
      <x:c r="H5" s="28" t="n">
        <x:f>B6</x:f>
        <x:v>6330922</x:v>
      </x:c>
      <x:c r="I5" s="28" t="n">
        <x:f>B8</x:f>
        <x:v>3159053</x:v>
      </x:c>
      <x:c r="J5" s="28" t="n">
        <x:f>B9</x:f>
        <x:v>2808332</x:v>
      </x:c>
      <x:c r="K5" s="28" t="n">
        <x:f>B10</x:f>
        <x:v>996000</x:v>
      </x:c>
    </x:row>
    <x:row r="6" ht="32" customHeight="1">
      <x:c r="A6" s="141" t="str">
        <x:v>EBITDA</x:v>
      </x:c>
      <x:c r="B6" s="142" t="n">
        <x:f>SUM('Financial_Statements'!B19:M19)</x:f>
        <x:v>6330922</x:v>
      </x:c>
      <x:c r="C6" s="142" t="n">
        <x:f>SUM('Financial_Statements'!N19:Y19)</x:f>
        <x:v>6469670</x:v>
      </x:c>
      <x:c r="D6" s="142" t="n">
        <x:f>SUM('Financial_Statements'!Z19:AK19)</x:f>
        <x:v>7641579</x:v>
      </x:c>
      <x:c r="E6" s="140" t="str">
        <x:v>Resultado operativo</x:v>
      </x:c>
      <x:c r="G6" t="n">
        <x:v>2025</x:v>
      </x:c>
      <x:c r="H6" s="28" t="n">
        <x:f>C6</x:f>
        <x:v>6469670</x:v>
      </x:c>
      <x:c r="I6" s="28" t="n">
        <x:f>C8</x:f>
        <x:v>2922385</x:v>
      </x:c>
      <x:c r="J6" s="28" t="n">
        <x:f>C9</x:f>
        <x:v>4544785</x:v>
      </x:c>
      <x:c r="K6" s="28" t="n">
        <x:f>C10</x:f>
        <x:v>2924368</x:v>
      </x:c>
    </x:row>
    <x:row r="7" ht="32" customHeight="1">
      <x:c r="A7" s="141" t="str">
        <x:v>Margen EBITDA</x:v>
      </x:c>
      <x:c r="B7" s="143" t="n">
        <x:f>IFERROR(B6/B5,0)</x:f>
        <x:v>0.17285424786288522</x:v>
      </x:c>
      <x:c r="C7" s="143" t="n">
        <x:f>IFERROR(C6/C5,0)</x:f>
        <x:v>0.1676278902161129</x:v>
      </x:c>
      <x:c r="D7" s="143" t="n">
        <x:f>IFERROR(D6/D5,0)</x:f>
        <x:v>0.17782700416687774</x:v>
      </x:c>
      <x:c r="E7" s="140" t="str">
        <x:v>Rentabilidad operativa</x:v>
      </x:c>
      <x:c r="G7" t="n">
        <x:v>2026</x:v>
      </x:c>
      <x:c r="H7" s="28" t="n">
        <x:f>D6</x:f>
        <x:v>7641579</x:v>
      </x:c>
      <x:c r="I7" s="28" t="n">
        <x:f>D8</x:f>
        <x:v>3562167</x:v>
      </x:c>
      <x:c r="J7" s="28" t="n">
        <x:f>D9</x:f>
        <x:v>6174715</x:v>
      </x:c>
      <x:c r="K7" s="28" t="n">
        <x:f>D10</x:f>
        <x:v>4029154</x:v>
      </x:c>
    </x:row>
    <x:row r="8" ht="32" customHeight="1">
      <x:c r="A8" s="141" t="str">
        <x:v>Resultado neto</x:v>
      </x:c>
      <x:c r="B8" s="142" t="n">
        <x:f>SUM('Financial_Statements'!B30:M30)</x:f>
        <x:v>3159053</x:v>
      </x:c>
      <x:c r="C8" s="142" t="n">
        <x:f>SUM('Financial_Statements'!N30:Y30)</x:f>
        <x:v>2922385</x:v>
      </x:c>
      <x:c r="D8" s="142" t="n">
        <x:f>SUM('Financial_Statements'!Z30:AK30)</x:f>
        <x:v>3562167</x:v>
      </x:c>
      <x:c r="E8" s="140" t="str">
        <x:v>Beneficio contable</x:v>
      </x:c>
    </x:row>
    <x:row r="9" ht="32" customHeight="1">
      <x:c r="A9" s="141" t="str">
        <x:v>Cash flow operativo</x:v>
      </x:c>
      <x:c r="B9" s="142" t="n">
        <x:f>SUM('Cash_Flow_Model'!B16:M16)</x:f>
        <x:v>2808332</x:v>
      </x:c>
      <x:c r="C9" s="142" t="n">
        <x:f>SUM('Cash_Flow_Model'!N16:Y16)</x:f>
        <x:v>4544785</x:v>
      </x:c>
      <x:c r="D9" s="142" t="n">
        <x:f>SUM('Cash_Flow_Model'!Z16:AK16)</x:f>
        <x:v>6174715</x:v>
      </x:c>
      <x:c r="E9" s="140" t="str">
        <x:v>Caja generada por la operación</x:v>
      </x:c>
    </x:row>
    <x:row r="10" ht="32" customHeight="1">
      <x:c r="A10" s="141" t="str">
        <x:v>Free cash flow</x:v>
      </x:c>
      <x:c r="B10" s="142" t="n">
        <x:f>SUM('Cash_Flow_Model'!B37:M37)</x:f>
        <x:v>996000</x:v>
      </x:c>
      <x:c r="C10" s="142" t="n">
        <x:f>SUM('Cash_Flow_Model'!N37:Y37)</x:f>
        <x:v>2924368</x:v>
      </x:c>
      <x:c r="D10" s="142" t="n">
        <x:f>SUM('Cash_Flow_Model'!Z37:AK37)</x:f>
        <x:v>4029154</x:v>
      </x:c>
      <x:c r="E10" s="140" t="str">
        <x:v>Caja tras inversiones</x:v>
      </x:c>
    </x:row>
    <x:row r="11" ht="32" customHeight="1">
      <x:c r="A11" s="141" t="str">
        <x:v>Efectivo al cierre</x:v>
      </x:c>
      <x:c r="B11" s="142" t="n">
        <x:f>'Financial_Statements'!M33</x:f>
        <x:v>2746000</x:v>
      </x:c>
      <x:c r="C11" s="142" t="n">
        <x:f>'Financial_Statements'!Y33</x:f>
        <x:v>5620368</x:v>
      </x:c>
      <x:c r="D11" s="142" t="n">
        <x:f>'Financial_Statements'!AK33</x:f>
        <x:v>8049522</x:v>
      </x:c>
      <x:c r="E11" s="140" t="str">
        <x:v>Liquidez disponible</x:v>
      </x:c>
    </x:row>
    <x:row r="12" ht="44" customHeight="1">
      <x:c r="A12" s="141" t="str">
        <x:v>Conversión CFO / EBITDA</x:v>
      </x:c>
      <x:c r="B12" s="143" t="n">
        <x:f>IFERROR(B9/B6,0)</x:f>
        <x:v>0.4435897330594185</x:v>
      </x:c>
      <x:c r="C12" s="143" t="n">
        <x:f>IFERROR(C9/C6,0)</x:f>
        <x:v>0.7024755513032349</x:v>
      </x:c>
      <x:c r="D12" s="143" t="n">
        <x:f>IFERROR(D9/D6,0)</x:f>
        <x:v>0.8080417672839606</x:v>
      </x:c>
      <x:c r="E12" s="140" t="str">
        <x:v>Conversión de resultado operativo en caja</x:v>
      </x:c>
    </x:row>
    <x:row r="13" ht="44" customHeight="1">
      <x:c r="A13" s="141" t="str">
        <x:v>Calidad del beneficio</x:v>
      </x:c>
      <x:c r="B13" s="143" t="n">
        <x:f>IFERROR(B9/B8,0)</x:f>
        <x:v>0.8889790706265454</x:v>
      </x:c>
      <x:c r="C13" s="143" t="n">
        <x:f>IFERROR(C9/C8,0)</x:f>
        <x:v>1.5551629918713654</x:v>
      </x:c>
      <x:c r="D13" s="143" t="n">
        <x:f>IFERROR(D9/D8,0)</x:f>
        <x:v>1.7334153620534916</x:v>
      </x:c>
      <x:c r="E13" s="140" t="str">
        <x:v>Relación entre caja y beneficio</x:v>
      </x:c>
    </x:row>
    <x:row r="14" ht="32" customHeight="1">
      <x:c r="A14" s="141" t="str">
        <x:v>CAPEX</x:v>
      </x:c>
      <x:c r="B14" s="142" t="n">
        <x:f>-SUM('Cash_Flow_Model'!B18:M18)</x:f>
        <x:v>1812332</x:v>
      </x:c>
      <x:c r="C14" s="142" t="n">
        <x:f>-SUM('Cash_Flow_Model'!N18:Y18)</x:f>
        <x:v>1620417</x:v>
      </x:c>
      <x:c r="D14" s="142" t="n">
        <x:f>-SUM('Cash_Flow_Model'!Z18:AK18)</x:f>
        <x:v>2145561</x:v>
      </x:c>
      <x:c r="E14" s="140" t="str">
        <x:v>Intensidad de inversión</x:v>
      </x:c>
    </x:row>
    <x:row r="15" ht="32" customHeight="1">
      <x:c r="A15" s="141" t="str">
        <x:v>DSO</x:v>
      </x:c>
      <x:c r="B15" s="144" t="n">
        <x:f>IFERROR(AVERAGE('Financial_Statements'!B34:M34)/ABS(SUM('Financial_Statements'!B7:M7))*365,0)</x:f>
        <x:v>56.17456283936818</x:v>
      </x:c>
      <x:c r="C15" s="144" t="n">
        <x:f>IFERROR(AVERAGE('Financial_Statements'!N34:Y34)/ABS(SUM('Financial_Statements'!N7:Y7))*365,0)</x:f>
        <x:v>59.20823046384916</x:v>
      </x:c>
      <x:c r="D15" s="144" t="n">
        <x:f>IFERROR(AVERAGE('Financial_Statements'!Z34:AK34)/ABS(SUM('Financial_Statements'!Z7:AK7))*365,0)</x:f>
        <x:v>52.816209749966625</x:v>
      </x:c>
      <x:c r="E15" s="140" t="str">
        <x:v>Días de cobro</x:v>
      </x:c>
    </x:row>
    <x:row r="16" ht="32" customHeight="1">
      <x:c r="A16" s="141" t="str">
        <x:v>DIO</x:v>
      </x:c>
      <x:c r="B16" s="144" t="n">
        <x:f>IFERROR(AVERAGE('Financial_Statements'!B35:M35)/ABS(SUM('Financial_Statements'!B11:M11))*365,0)</x:f>
        <x:v>52.79194310560386</x:v>
      </x:c>
      <x:c r="C16" s="144" t="n">
        <x:f>IFERROR(AVERAGE('Financial_Statements'!N35:Y35)/ABS(SUM('Financial_Statements'!N11:Y11))*365,0)</x:f>
        <x:v>54.64738763887771</x:v>
      </x:c>
      <x:c r="D16" s="144" t="n">
        <x:f>IFERROR(AVERAGE('Financial_Statements'!Z35:AK35)/ABS(SUM('Financial_Statements'!Z11:AK11))*365,0)</x:f>
        <x:v>49.95613936150959</x:v>
      </x:c>
      <x:c r="E16" s="140" t="str">
        <x:v>Días de inventario</x:v>
      </x:c>
    </x:row>
    <x:row r="17" ht="32" customHeight="1">
      <x:c r="A17" s="141" t="str">
        <x:v>DPO</x:v>
      </x:c>
      <x:c r="B17" s="144" t="n">
        <x:f>IFERROR(AVERAGE('Financial_Statements'!B42:M42)/ABS(SUM('Financial_Statements'!B11:M11))*365,0)</x:f>
        <x:v>51.25371408542624</x:v>
      </x:c>
      <x:c r="C17" s="144" t="n">
        <x:f>IFERROR(AVERAGE('Financial_Statements'!N42:Y42)/ABS(SUM('Financial_Statements'!N11:Y11))*365,0)</x:f>
        <x:v>47.92381239203094</x:v>
      </x:c>
      <x:c r="D17" s="144" t="n">
        <x:f>IFERROR(AVERAGE('Financial_Statements'!Z42:AK42)/ABS(SUM('Financial_Statements'!Z11:AK11))*365,0)</x:f>
        <x:v>50.93385698660974</x:v>
      </x:c>
      <x:c r="E17" s="140" t="str">
        <x:v>Días de pago</x:v>
      </x:c>
    </x:row>
    <x:row r="18" ht="44" customHeight="1">
      <x:c r="A18" s="141" t="str">
        <x:v>Cash Conversion Cycle</x:v>
      </x:c>
      <x:c r="B18" s="144" t="n">
        <x:f>B15+B16-B17</x:f>
        <x:v>57.7127918595458</x:v>
      </x:c>
      <x:c r="C18" s="144" t="n">
        <x:f>C15+C16-C17</x:f>
        <x:v>65.93180571069594</x:v>
      </x:c>
      <x:c r="D18" s="144" t="n">
        <x:f>D15+D16-D17</x:f>
        <x:v>51.83849212486648</x:v>
      </x:c>
      <x:c r="E18" s="140" t="str">
        <x:v>Días de caja inmovilizada</x:v>
      </x:c>
    </x:row>
    <x:row r="19" ht="44" customHeight="1">
      <x:c r="A19" s="141" t="str">
        <x:v>Posición financiera neta</x:v>
      </x:c>
      <x:c r="B19" s="142" t="n">
        <x:f>'Financial_Statements'!M33-('Financial_Statements'!M45+'Financial_Statements'!M46+'Financial_Statements'!M48+'Financial_Statements'!M49)</x:f>
        <x:v>-3454000</x:v>
      </x:c>
      <x:c r="C19" s="142" t="n">
        <x:f>'Financial_Statements'!Y33-('Financial_Statements'!Y45+'Financial_Statements'!Y46+'Financial_Statements'!Y48+'Financial_Statements'!Y49)</x:f>
        <x:v>-879632</x:v>
      </x:c>
      <x:c r="D19" s="142" t="n">
        <x:f>'Financial_Statements'!AK33-('Financial_Statements'!AK45+'Financial_Statements'!AK46+'Financial_Statements'!AK48+'Financial_Statements'!AK49)</x:f>
        <x:v>2599522</x:v>
      </x:c>
      <x:c r="E19" s="140" t="str">
        <x:v>Caja menos deuda y arrendamientos</x:v>
      </x:c>
    </x:row>
    <x:row r="20" ht="32" customHeight="1">
      <x:c r="A20" s="141" t="str">
        <x:v>Current ratio</x:v>
      </x:c>
      <x:c r="B20" s="145" t="n">
        <x:f>IFERROR('Financial_Statements'!M37/'Financial_Statements'!M47,0)</x:f>
        <x:v>2.1868755558418576</x:v>
      </x:c>
      <x:c r="C20" s="145" t="n">
        <x:f>IFERROR('Financial_Statements'!Y37/'Financial_Statements'!Y47,0)</x:f>
        <x:v>2.694583962128694</x:v>
      </x:c>
      <x:c r="D20" s="145" t="n">
        <x:f>IFERROR('Financial_Statements'!AK37/'Financial_Statements'!AK47,0)</x:f>
        <x:v>2.95019429194634</x:v>
      </x:c>
      <x:c r="E20" s="140" t="str">
        <x:v>Cobertura de corto plazo</x:v>
      </x:c>
    </x:row>
    <x:row r="21" ht="32" customHeight="1">
      <x:c r="A21" s="141" t="str">
        <x:v>Quick ratio</x:v>
      </x:c>
      <x:c r="B21" s="145" t="n">
        <x:f>IFERROR(('Financial_Statements'!M33+'Financial_Statements'!M34)/'Financial_Statements'!M47,0)</x:f>
        <x:v>1.4907973401577272</x:v>
      </x:c>
      <x:c r="C21" s="145" t="n">
        <x:f>IFERROR(('Financial_Statements'!Y33+'Financial_Statements'!Y34)/'Financial_Statements'!Y47,0)</x:f>
        <x:v>1.9471307875165071</x:v>
      </x:c>
      <x:c r="D21" s="145" t="n">
        <x:f>IFERROR(('Financial_Statements'!AK33+'Financial_Statements'!AK34)/'Financial_Statements'!AK47,0)</x:f>
        <x:v>2.226793701946825</x:v>
      </x:c>
      <x:c r="E21" s="140" t="str">
        <x:v>Liquidez sin inventario</x:v>
      </x:c>
    </x:row>
    <x:row r="22" ht="32" customHeight="1">
      <x:c r="A22" s="141" t="str">
        <x:v>Cobertura de intereses</x:v>
      </x:c>
      <x:c r="B22" s="145" t="n">
        <x:f>IFERROR(SUM('Financial_Statements'!B25:M25)/ABS(SUM('Financial_Statements'!B26:M26)),0)</x:f>
        <x:v>10.691717592592592</x:v>
      </x:c>
      <x:c r="C22" s="145" t="n">
        <x:f>IFERROR(SUM('Financial_Statements'!N25:Y25)/ABS(SUM('Financial_Statements'!N26:Y26)),0)</x:f>
        <x:v>9.72426013007409</x:v>
      </x:c>
      <x:c r="D22" s="145" t="n">
        <x:f>IFERROR(SUM('Financial_Statements'!Z25:AK25)/ABS(SUM('Financial_Statements'!Z26:AK26)),0)</x:f>
        <x:v>11.788805815160956</x:v>
      </x:c>
      <x:c r="E22" s="140" t="str">
        <x:v>Capacidad operativa para pagar intereses</x:v>
      </x:c>
    </x:row>
    <x:row r="25" ht="26" customHeight="1">
      <x:c r="A25" s="147" t="str">
        <x:v>Evolución mensual y drivers de caja</x:v>
      </x:c>
      <x:c r="B25" s="147" t="str">
        <x:v>Evolución mensual y drivers de caja</x:v>
      </x:c>
      <x:c r="C25" s="147" t="str">
        <x:v>Evolución mensual y drivers de caja</x:v>
      </x:c>
      <x:c r="D25" s="147" t="str">
        <x:v>Evolución mensual y drivers de caja</x:v>
      </x:c>
      <x:c r="E25" s="147" t="str">
        <x:v>Evolución mensual y drivers de caja</x:v>
      </x:c>
      <x:c r="F25" s="147" t="str">
        <x:v>Evolución mensual y drivers de caja</x:v>
      </x:c>
      <x:c r="G25" s="147" t="str">
        <x:v>Evolución mensual y drivers de caja</x:v>
      </x:c>
      <x:c r="H25" s="147" t="str">
        <x:v>Evolución mensual y drivers de caja</x:v>
      </x:c>
      <x:c r="I25" s="147" t="str">
        <x:v>Evolución mensual y drivers de caja</x:v>
      </x:c>
      <x:c r="J25" s="147" t="str">
        <x:v>Evolución mensual y drivers de caja</x:v>
      </x:c>
      <x:c r="K25" s="147" t="str">
        <x:v>Evolución mensual y drivers de caja</x:v>
      </x:c>
      <x:c r="L25" s="147" t="str">
        <x:v>Evolución mensual y drivers de caja</x:v>
      </x:c>
    </x:row>
    <x:row r="27" ht="28" customHeight="1">
      <x:c r="A27" s="148" t="str">
        <x:v>Periodo</x:v>
      </x:c>
      <x:c r="B27" s="148" t="str">
        <x:v>Ingresos</x:v>
      </x:c>
      <x:c r="C27" s="148" t="str">
        <x:v>EBITDA</x:v>
      </x:c>
      <x:c r="D27" s="148" t="str">
        <x:v>Resultado neto</x:v>
      </x:c>
      <x:c r="E27" s="148" t="str">
        <x:v>CFO</x:v>
      </x:c>
      <x:c r="F27" s="148" t="str">
        <x:v>FCF</x:v>
      </x:c>
      <x:c r="G27" s="148" t="str">
        <x:v>Efectivo</x:v>
      </x:c>
      <x:c r="H27" s="148" t="str">
        <x:v>Deuda + leases</x:v>
      </x:c>
      <x:c r="I27" s="148" t="str">
        <x:v>DSO</x:v>
      </x:c>
      <x:c r="J27" s="148" t="str">
        <x:v>DIO</x:v>
      </x:c>
      <x:c r="K27" s="148" t="str">
        <x:v>DPO</x:v>
      </x:c>
      <x:c r="L27" s="148" t="str">
        <x:v>CCC</x:v>
      </x:c>
      <x:c r="N27" s="137" t="str">
        <x:v>Periodo</x:v>
      </x:c>
      <x:c r="O27" s="137" t="str">
        <x:v>Efectivo</x:v>
      </x:c>
      <x:c r="P27" s="137" t="str">
        <x:v>Deuda + leases</x:v>
      </x:c>
      <x:c r="R27" s="137" t="str">
        <x:v>Periodo</x:v>
      </x:c>
      <x:c r="S27" s="137" t="str">
        <x:v>CCC</x:v>
      </x:c>
    </x:row>
    <x:row r="28">
      <x:c r="A28" s="71" t="str">
        <x:v>2024-01</x:v>
      </x:c>
      <x:c r="B28" s="72" t="n">
        <x:f>'Financial_Statements'!B7</x:f>
        <x:v>2610000</x:v>
      </x:c>
      <x:c r="C28" s="72" t="n">
        <x:f>'Financial_Statements'!B19</x:f>
        <x:v>446310</x:v>
      </x:c>
      <x:c r="D28" s="72" t="n">
        <x:f>'Financial_Statements'!B30</x:f>
        <x:v>214282</x:v>
      </x:c>
      <x:c r="E28" s="72" t="n">
        <x:f>'Cash_Flow_Model'!B16</x:f>
        <x:v>-211457</x:v>
      </x:c>
      <x:c r="F28" s="72" t="n">
        <x:f>'Cash_Flow_Model'!B37</x:f>
        <x:v>-351457</x:v>
      </x:c>
      <x:c r="G28" s="72" t="n">
        <x:f>'Financial_Statements'!B33</x:f>
        <x:v>2608543</x:v>
      </x:c>
      <x:c r="H28" s="72" t="n">
        <x:f>SUM('Financial_Statements'!B45,'Financial_Statements'!B46,'Financial_Statements'!B48,'Financial_Statements'!B49)</x:f>
        <x:v>6975000</x:v>
      </x:c>
      <x:c r="I28" s="73" t="n">
        <x:f>IFERROR('Financial_Statements'!B34/'Financial_Statements'!B7*31,0)</x:f>
        <x:v>54.99999808429119</x:v>
      </x:c>
      <x:c r="J28" s="73" t="n">
        <x:f>IFERROR('Financial_Statements'!B35/ABS('Financial_Statements'!B11)*31,0)</x:f>
        <x:v>54.99999236262268</x:v>
      </x:c>
      <x:c r="K28" s="73" t="n">
        <x:f>IFERROR('Financial_Statements'!B42/ABS('Financial_Statements'!B11)*31,0)</x:f>
        <x:v>50.00000381868866</x:v>
      </x:c>
      <x:c r="L28" s="73" t="n">
        <x:f>I28+J28-K28</x:f>
        <x:v>59.99998662822521</x:v>
      </x:c>
      <x:c r="N28" t="str">
        <x:f>A28</x:f>
        <x:v>2024-01</x:v>
      </x:c>
      <x:c r="O28" s="28" t="n">
        <x:f>G28</x:f>
        <x:v>2608543</x:v>
      </x:c>
      <x:c r="P28" s="28" t="n">
        <x:f>H28</x:f>
        <x:v>6975000</x:v>
      </x:c>
      <x:c r="R28" t="str">
        <x:f>A28</x:f>
        <x:v>2024-01</x:v>
      </x:c>
      <x:c r="S28" s="48" t="n">
        <x:f>L28</x:f>
        <x:v>59.99998662822521</x:v>
      </x:c>
    </x:row>
    <x:row r="29">
      <x:c r="A29" s="71" t="str">
        <x:v>2024-02</x:v>
      </x:c>
      <x:c r="B29" s="72" t="n">
        <x:f>'Financial_Statements'!C7</x:f>
        <x:v>2713182</x:v>
      </x:c>
      <x:c r="C29" s="72" t="n">
        <x:f>'Financial_Statements'!C19</x:f>
        <x:v>464124</x:v>
      </x:c>
      <x:c r="D29" s="72" t="n">
        <x:f>'Financial_Statements'!C30</x:f>
        <x:v>225271</x:v>
      </x:c>
      <x:c r="E29" s="72" t="n">
        <x:f>'Cash_Flow_Model'!C16</x:f>
        <x:v>-198118</x:v>
      </x:c>
      <x:c r="F29" s="72" t="n">
        <x:f>'Cash_Flow_Model'!C37</x:f>
        <x:v>-346298</x:v>
      </x:c>
      <x:c r="G29" s="72" t="n">
        <x:f>'Financial_Statements'!C33</x:f>
        <x:v>2222245</x:v>
      </x:c>
      <x:c r="H29" s="72" t="n">
        <x:f>SUM('Financial_Statements'!C45,'Financial_Statements'!C46,'Financial_Statements'!C48,'Financial_Statements'!C49)</x:f>
        <x:v>6950000</x:v>
      </x:c>
      <x:c r="I29" s="73" t="n">
        <x:f>IFERROR('Financial_Statements'!C34/'Financial_Statements'!C7*29,0)</x:f>
        <x:v>55.4948053613801</x:v>
      </x:c>
      <x:c r="J29" s="73" t="n">
        <x:f>IFERROR('Financial_Statements'!C35/ABS('Financial_Statements'!C11)*29,0)</x:f>
        <x:v>54.94019536714759</x:v>
      </x:c>
      <x:c r="K29" s="73" t="n">
        <x:f>IFERROR('Financial_Statements'!C42/ABS('Financial_Statements'!C11)*29,0)</x:f>
        <x:v>50.33179231449764</x:v>
      </x:c>
      <x:c r="L29" s="73" t="n">
        <x:f>I29+J29-K29</x:f>
        <x:v>60.10320841403004</x:v>
      </x:c>
      <x:c r="N29" t="str">
        <x:f>A29</x:f>
        <x:v>2024-02</x:v>
      </x:c>
      <x:c r="O29" s="28" t="n">
        <x:f>G29</x:f>
        <x:v>2222245</x:v>
      </x:c>
      <x:c r="P29" s="28" t="n">
        <x:f>H29</x:f>
        <x:v>6950000</x:v>
      </x:c>
      <x:c r="R29" t="str">
        <x:f>A29</x:f>
        <x:v>2024-02</x:v>
      </x:c>
      <x:c r="S29" s="48" t="n">
        <x:f>L29</x:f>
        <x:v>60.10320841403004</x:v>
      </x:c>
    </x:row>
    <x:row r="30">
      <x:c r="A30" s="71" t="str">
        <x:v>2024-03</x:v>
      </x:c>
      <x:c r="B30" s="72" t="n">
        <x:f>'Financial_Statements'!D7</x:f>
        <x:v>2934800</x:v>
      </x:c>
      <x:c r="C30" s="72" t="n">
        <x:f>'Financial_Statements'!D19</x:f>
        <x:v>502569</x:v>
      </x:c>
      <x:c r="D30" s="72" t="n">
        <x:f>'Financial_Statements'!D30</x:f>
        <x:v>251735</x:v>
      </x:c>
      <x:c r="E30" s="72" t="n">
        <x:f>'Cash_Flow_Model'!D16</x:f>
        <x:v>335979</x:v>
      </x:c>
      <x:c r="F30" s="72" t="n">
        <x:f>'Cash_Flow_Model'!D37</x:f>
        <x:v>180520</x:v>
      </x:c>
      <x:c r="G30" s="72" t="n">
        <x:f>'Financial_Statements'!D33</x:f>
        <x:v>2207765</x:v>
      </x:c>
      <x:c r="H30" s="72" t="n">
        <x:f>SUM('Financial_Statements'!D45,'Financial_Statements'!D46,'Financial_Statements'!D48,'Financial_Statements'!D49)</x:f>
        <x:v>6800000</x:v>
      </x:c>
      <x:c r="I30" s="73" t="n">
        <x:f>IFERROR('Financial_Statements'!D34/'Financial_Statements'!D7*31,0)</x:f>
        <x:v>55.95885545863432</x:v>
      </x:c>
      <x:c r="J30" s="73" t="n">
        <x:f>IFERROR('Financial_Statements'!D35/ABS('Financial_Statements'!D11)*31,0)</x:f>
        <x:v>54.76318664213952</x:v>
      </x:c>
      <x:c r="K30" s="73" t="n">
        <x:f>IFERROR('Financial_Statements'!D42/ABS('Financial_Statements'!D11)*31,0)</x:f>
        <x:v>50.654394792698454</x:v>
      </x:c>
      <x:c r="L30" s="73" t="n">
        <x:f>I30+J30-K30</x:f>
        <x:v>60.067647308075394</x:v>
      </x:c>
      <x:c r="N30" t="str">
        <x:f>A30</x:f>
        <x:v>2024-03</x:v>
      </x:c>
      <x:c r="O30" s="28" t="n">
        <x:f>G30</x:f>
        <x:v>2207765</x:v>
      </x:c>
      <x:c r="P30" s="28" t="n">
        <x:f>H30</x:f>
        <x:v>6800000</x:v>
      </x:c>
      <x:c r="R30" t="str">
        <x:f>A30</x:f>
        <x:v>2024-03</x:v>
      </x:c>
      <x:c r="S30" s="48" t="n">
        <x:f>L30</x:f>
        <x:v>60.067647308075394</x:v>
      </x:c>
    </x:row>
    <x:row r="31">
      <x:c r="A31" s="71" t="str">
        <x:v>2024-04</x:v>
      </x:c>
      <x:c r="B31" s="72" t="n">
        <x:f>'Financial_Statements'!E7</x:f>
        <x:v>2893156</x:v>
      </x:c>
      <x:c r="C31" s="72" t="n">
        <x:f>'Financial_Statements'!E19</x:f>
        <x:v>496282</x:v>
      </x:c>
      <x:c r="D31" s="72" t="n">
        <x:f>'Financial_Statements'!E30</x:f>
        <x:v>244873</x:v>
      </x:c>
      <x:c r="E31" s="72" t="n">
        <x:f>'Cash_Flow_Model'!E16</x:f>
        <x:v>265651</x:v>
      </x:c>
      <x:c r="F31" s="72" t="n">
        <x:f>'Cash_Flow_Model'!E37</x:f>
        <x:v>104614</x:v>
      </x:c>
      <x:c r="G31" s="72" t="n">
        <x:f>'Financial_Statements'!E33</x:f>
        <x:v>2272379</x:v>
      </x:c>
      <x:c r="H31" s="72" t="n">
        <x:f>SUM('Financial_Statements'!E45,'Financial_Statements'!E46,'Financial_Statements'!E48,'Financial_Statements'!E49)</x:f>
        <x:v>6775000</x:v>
      </x:c>
      <x:c r="I31" s="73" t="n">
        <x:f>IFERROR('Financial_Statements'!E34/'Financial_Statements'!E7*30,0)</x:f>
        <x:v>56.363279408369266</x:v>
      </x:c>
      <x:c r="J31" s="73" t="n">
        <x:f>IFERROR('Financial_Statements'!E35/ABS('Financial_Statements'!E11)*30,0)</x:f>
        <x:v>54.47600592531349</x:v>
      </x:c>
      <x:c r="K31" s="73" t="n">
        <x:f>IFERROR('Financial_Statements'!E42/ABS('Financial_Statements'!E11)*30,0)</x:f>
        <x:v>50.95885007578889</x:v>
      </x:c>
      <x:c r="L31" s="73" t="n">
        <x:f>I31+J31-K31</x:f>
        <x:v>59.880435257893865</x:v>
      </x:c>
      <x:c r="N31" t="str">
        <x:f>A31</x:f>
        <x:v>2024-04</x:v>
      </x:c>
      <x:c r="O31" s="28" t="n">
        <x:f>G31</x:f>
        <x:v>2272379</x:v>
      </x:c>
      <x:c r="P31" s="28" t="n">
        <x:f>H31</x:f>
        <x:v>6775000</x:v>
      </x:c>
      <x:c r="R31" t="str">
        <x:f>A31</x:f>
        <x:v>2024-04</x:v>
      </x:c>
      <x:c r="S31" s="48" t="n">
        <x:f>L31</x:f>
        <x:v>59.880435257893865</x:v>
      </x:c>
    </x:row>
    <x:row r="32">
      <x:c r="A32" s="71" t="str">
        <x:v>2024-05</x:v>
      </x:c>
      <x:c r="B32" s="72" t="n">
        <x:f>'Financial_Statements'!F7</x:f>
        <x:v>3028992</x:v>
      </x:c>
      <x:c r="C32" s="72" t="n">
        <x:f>'Financial_Statements'!F19</x:f>
        <x:v>520741</x:v>
      </x:c>
      <x:c r="D32" s="72" t="n">
        <x:f>'Financial_Statements'!F30</x:f>
        <x:v>261119</x:v>
      </x:c>
      <x:c r="E32" s="72" t="n">
        <x:f>'Cash_Flow_Model'!F16</x:f>
        <x:v>352543</x:v>
      </x:c>
      <x:c r="F32" s="72" t="n">
        <x:f>'Cash_Flow_Model'!F37</x:f>
        <x:v>188245</x:v>
      </x:c>
      <x:c r="G32" s="72" t="n">
        <x:f>'Financial_Statements'!F33</x:f>
        <x:v>2420624</x:v>
      </x:c>
      <x:c r="H32" s="72" t="n">
        <x:f>SUM('Financial_Statements'!F45,'Financial_Statements'!F46,'Financial_Statements'!F48,'Financial_Statements'!F49)</x:f>
        <x:v>6750000</x:v>
      </x:c>
      <x:c r="I32" s="73" t="n">
        <x:f>IFERROR('Financial_Statements'!F34/'Financial_Statements'!F7*31,0)</x:f>
        <x:v>56.6829384164765</x:v>
      </x:c>
      <x:c r="J32" s="73" t="n">
        <x:f>IFERROR('Financial_Statements'!F35/ABS('Financial_Statements'!F11)*31,0)</x:f>
        <x:v>54.09011688805969</x:v>
      </x:c>
      <x:c r="K32" s="73" t="n">
        <x:f>IFERROR('Financial_Statements'!F42/ABS('Financial_Statements'!F11)*31,0)</x:f>
        <x:v>51.236735886948615</x:v>
      </x:c>
      <x:c r="L32" s="73" t="n">
        <x:f>I32+J32-K32</x:f>
        <x:v>59.536319417587585</x:v>
      </x:c>
      <x:c r="N32" t="str">
        <x:f>A32</x:f>
        <x:v>2024-05</x:v>
      </x:c>
      <x:c r="O32" s="28" t="n">
        <x:f>G32</x:f>
        <x:v>2420624</x:v>
      </x:c>
      <x:c r="P32" s="28" t="n">
        <x:f>H32</x:f>
        <x:v>6750000</x:v>
      </x:c>
      <x:c r="R32" t="str">
        <x:f>A32</x:f>
        <x:v>2024-05</x:v>
      </x:c>
      <x:c r="S32" s="48" t="n">
        <x:f>L32</x:f>
        <x:v>59.536319417587585</x:v>
      </x:c>
    </x:row>
    <x:row r="33">
      <x:c r="A33" s="71" t="str">
        <x:v>2024-06</x:v>
      </x:c>
      <x:c r="B33" s="72" t="n">
        <x:f>'Financial_Statements'!G7</x:f>
        <x:v>3106480</x:v>
      </x:c>
      <x:c r="C33" s="72" t="n">
        <x:f>'Financial_Statements'!G19</x:f>
        <x:v>535461</x:v>
      </x:c>
      <x:c r="D33" s="72" t="n">
        <x:f>'Financial_Statements'!G30</x:f>
        <x:v>270110</x:v>
      </x:c>
      <x:c r="E33" s="72" t="n">
        <x:f>'Cash_Flow_Model'!G16</x:f>
        <x:v>103493</x:v>
      </x:c>
      <x:c r="F33" s="72" t="n">
        <x:f>'Cash_Flow_Model'!G37</x:f>
        <x:v>-61392</x:v>
      </x:c>
      <x:c r="G33" s="72" t="n">
        <x:f>'Financial_Statements'!G33</x:f>
        <x:v>2164232</x:v>
      </x:c>
      <x:c r="H33" s="72" t="n">
        <x:f>SUM('Financial_Statements'!G45,'Financial_Statements'!G46,'Financial_Statements'!G48,'Financial_Statements'!G49)</x:f>
        <x:v>6600000</x:v>
      </x:c>
      <x:c r="I33" s="73" t="n">
        <x:f>IFERROR('Financial_Statements'!G34/'Financial_Statements'!G7*30,0)</x:f>
        <x:v>56.89797133733357</x:v>
      </x:c>
      <x:c r="J33" s="73" t="n">
        <x:f>IFERROR('Financial_Statements'!G35/ABS('Financial_Statements'!G11)*30,0)</x:f>
        <x:v>53.620900689321054</x:v>
      </x:c>
      <x:c r="K33" s="73" t="n">
        <x:f>IFERROR('Financial_Statements'!G42/ABS('Financial_Statements'!G11)*30,0)</x:f>
        <x:v>51.48034785286998</x:v>
      </x:c>
      <x:c r="L33" s="73" t="n">
        <x:f>I33+J33-K33</x:f>
        <x:v>59.03852417378465</x:v>
      </x:c>
      <x:c r="N33" t="str">
        <x:f>A33</x:f>
        <x:v>2024-06</x:v>
      </x:c>
      <x:c r="O33" s="28" t="n">
        <x:f>G33</x:f>
        <x:v>2164232</x:v>
      </x:c>
      <x:c r="P33" s="28" t="n">
        <x:f>H33</x:f>
        <x:v>6600000</x:v>
      </x:c>
      <x:c r="R33" t="str">
        <x:f>A33</x:f>
        <x:v>2024-06</x:v>
      </x:c>
      <x:c r="S33" s="48" t="n">
        <x:f>L33</x:f>
        <x:v>59.03852417378465</x:v>
      </x:c>
    </x:row>
    <x:row r="34">
      <x:c r="A34" s="71" t="str">
        <x:v>2024-07</x:v>
      </x:c>
      <x:c r="B34" s="72" t="n">
        <x:f>'Financial_Statements'!H7</x:f>
        <x:v>2914268</x:v>
      </x:c>
      <x:c r="C34" s="72" t="n">
        <x:f>'Financial_Statements'!H19</x:f>
        <x:v>503756</x:v>
      </x:c>
      <x:c r="D34" s="72" t="n">
        <x:f>'Financial_Statements'!H30</x:f>
        <x:v>244040</x:v>
      </x:c>
      <x:c r="E34" s="72" t="n">
        <x:f>'Cash_Flow_Model'!H16</x:f>
        <x:v>946804</x:v>
      </x:c>
      <x:c r="F34" s="72" t="n">
        <x:f>'Cash_Flow_Model'!H37</x:f>
        <x:v>784072</x:v>
      </x:c>
      <x:c r="G34" s="72" t="n">
        <x:f>'Financial_Statements'!H33</x:f>
        <x:v>2908304</x:v>
      </x:c>
      <x:c r="H34" s="72" t="n">
        <x:f>SUM('Financial_Statements'!H45,'Financial_Statements'!H46,'Financial_Statements'!H48,'Financial_Statements'!H49)</x:f>
        <x:v>6575000</x:v>
      </x:c>
      <x:c r="I34" s="73" t="n">
        <x:f>IFERROR('Financial_Statements'!H34/'Financial_Statements'!H7*31,0)</x:f>
        <x:v>56.99499222446254</x:v>
      </x:c>
      <x:c r="J34" s="73" t="n">
        <x:f>IFERROR('Financial_Statements'!H35/ABS('Financial_Statements'!H11)*31,0)</x:f>
        <x:v>53.0870781297203</x:v>
      </x:c>
      <x:c r="K34" s="73" t="n">
        <x:f>IFERROR('Financial_Statements'!H42/ABS('Financial_Statements'!H11)*31,0)</x:f>
        <x:v>51.682934809249936</x:v>
      </x:c>
      <x:c r="L34" s="73" t="n">
        <x:f>I34+J34-K34</x:f>
        <x:v>58.399135544932896</x:v>
      </x:c>
      <x:c r="N34" t="str">
        <x:f>A34</x:f>
        <x:v>2024-07</x:v>
      </x:c>
      <x:c r="O34" s="28" t="n">
        <x:f>G34</x:f>
        <x:v>2908304</x:v>
      </x:c>
      <x:c r="P34" s="28" t="n">
        <x:f>H34</x:f>
        <x:v>6575000</x:v>
      </x:c>
      <x:c r="R34" t="str">
        <x:f>A34</x:f>
        <x:v>2024-07</x:v>
      </x:c>
      <x:c r="S34" s="48" t="n">
        <x:f>L34</x:f>
        <x:v>58.399135544932896</x:v>
      </x:c>
    </x:row>
    <x:row r="35">
      <x:c r="A35" s="71" t="str">
        <x:v>2024-08</x:v>
      </x:c>
      <x:c r="B35" s="72" t="n">
        <x:f>'Financial_Statements'!I7</x:f>
        <x:v>2780056</x:v>
      </x:c>
      <x:c r="C35" s="72" t="n">
        <x:f>'Financial_Statements'!I19</x:f>
        <x:v>481941</x:v>
      </x:c>
      <x:c r="D35" s="72" t="n">
        <x:f>'Financial_Statements'!I30</x:f>
        <x:v>225988</x:v>
      </x:c>
      <x:c r="E35" s="72" t="n">
        <x:f>'Cash_Flow_Model'!I16</x:f>
        <x:v>645154</x:v>
      </x:c>
      <x:c r="F35" s="72" t="n">
        <x:f>'Cash_Flow_Model'!I37</x:f>
        <x:v>487077</x:v>
      </x:c>
      <x:c r="G35" s="72" t="n">
        <x:f>'Financial_Statements'!I33</x:f>
        <x:v>3355381</x:v>
      </x:c>
      <x:c r="H35" s="72" t="n">
        <x:f>SUM('Financial_Statements'!I45,'Financial_Statements'!I46,'Financial_Statements'!I48,'Financial_Statements'!I49)</x:f>
        <x:v>6550000</x:v>
      </x:c>
      <x:c r="I35" s="73" t="n">
        <x:f>IFERROR('Financial_Statements'!I34/'Financial_Statements'!I7*31,0)</x:f>
        <x:v>56.9679761846524</x:v>
      </x:c>
      <x:c r="J35" s="73" t="n">
        <x:f>IFERROR('Financial_Statements'!I35/ABS('Financial_Statements'!I11)*31,0)</x:f>
        <x:v>52.509896372654524</x:v>
      </x:c>
      <x:c r="K35" s="73" t="n">
        <x:f>IFERROR('Financial_Statements'!I42/ABS('Financial_Statements'!I11)*31,0)</x:f>
        <x:v>51.838881376774395</x:v>
      </x:c>
      <x:c r="L35" s="73" t="n">
        <x:f>I35+J35-K35</x:f>
        <x:v>57.63899118053253</x:v>
      </x:c>
      <x:c r="N35" t="str">
        <x:f>A35</x:f>
        <x:v>2024-08</x:v>
      </x:c>
      <x:c r="O35" s="28" t="n">
        <x:f>G35</x:f>
        <x:v>3355381</x:v>
      </x:c>
      <x:c r="P35" s="28" t="n">
        <x:f>H35</x:f>
        <x:v>6550000</x:v>
      </x:c>
      <x:c r="R35" t="str">
        <x:f>A35</x:f>
        <x:v>2024-08</x:v>
      </x:c>
      <x:c r="S35" s="48" t="n">
        <x:f>L35</x:f>
        <x:v>57.63899118053253</x:v>
      </x:c>
    </x:row>
    <x:row r="36">
      <x:c r="A36" s="71" t="str">
        <x:v>2024-09</x:v>
      </x:c>
      <x:c r="B36" s="72" t="n">
        <x:f>'Financial_Statements'!J7</x:f>
        <x:v>3191160</x:v>
      </x:c>
      <x:c r="C36" s="72" t="n">
        <x:f>'Financial_Statements'!J19</x:f>
        <x:v>554727</x:v>
      </x:c>
      <x:c r="D36" s="72" t="n">
        <x:f>'Financial_Statements'!J30</x:f>
        <x:v>278708</x:v>
      </x:c>
      <x:c r="E36" s="72" t="n">
        <x:f>'Cash_Flow_Model'!J16</x:f>
        <x:v>-407592</x:v>
      </x:c>
      <x:c r="F36" s="72" t="n">
        <x:f>'Cash_Flow_Model'!J37</x:f>
        <x:v>-559024</x:v>
      </x:c>
      <x:c r="G36" s="72" t="n">
        <x:f>'Financial_Statements'!J33</x:f>
        <x:v>2601357</x:v>
      </x:c>
      <x:c r="H36" s="72" t="n">
        <x:f>SUM('Financial_Statements'!J45,'Financial_Statements'!J46,'Financial_Statements'!J48,'Financial_Statements'!J49)</x:f>
        <x:v>6400000</x:v>
      </x:c>
      <x:c r="I36" s="73" t="n">
        <x:f>IFERROR('Financial_Statements'!J34/'Financial_Statements'!J7*30,0)</x:f>
        <x:v>56.81859887940435</x:v>
      </x:c>
      <x:c r="J36" s="73" t="n">
        <x:f>IFERROR('Financial_Statements'!J35/ABS('Financial_Statements'!J11)*30,0)</x:f>
        <x:v>51.91240022529017</x:v>
      </x:c>
      <x:c r="K36" s="73" t="n">
        <x:f>IFERROR('Financial_Statements'!J42/ABS('Financial_Statements'!J11)*30,0)</x:f>
        <x:v>51.94388254927702</x:v>
      </x:c>
      <x:c r="L36" s="73" t="n">
        <x:f>I36+J36-K36</x:f>
        <x:v>56.7871165554175</x:v>
      </x:c>
      <x:c r="N36" t="str">
        <x:f>A36</x:f>
        <x:v>2024-09</x:v>
      </x:c>
      <x:c r="O36" s="28" t="n">
        <x:f>G36</x:f>
        <x:v>2601357</x:v>
      </x:c>
      <x:c r="P36" s="28" t="n">
        <x:f>H36</x:f>
        <x:v>6400000</x:v>
      </x:c>
      <x:c r="R36" t="str">
        <x:f>A36</x:f>
        <x:v>2024-09</x:v>
      </x:c>
      <x:c r="S36" s="48" t="n">
        <x:f>L36</x:f>
        <x:v>56.7871165554175</x:v>
      </x:c>
    </x:row>
    <x:row r="37">
      <x:c r="A37" s="71" t="str">
        <x:v>2024-10</x:v>
      </x:c>
      <x:c r="B37" s="72" t="n">
        <x:f>'Financial_Statements'!K7</x:f>
        <x:v>3301128</x:v>
      </x:c>
      <x:c r="C37" s="72" t="n">
        <x:f>'Financial_Statements'!K19</x:f>
        <x:v>575243</x:v>
      </x:c>
      <x:c r="D37" s="72" t="n">
        <x:f>'Financial_Statements'!K30</x:f>
        <x:v>291505</x:v>
      </x:c>
      <x:c r="E37" s="72" t="n">
        <x:f>'Cash_Flow_Model'!K16</x:f>
        <x:v>522526</x:v>
      </x:c>
      <x:c r="F37" s="72" t="n">
        <x:f>'Cash_Flow_Model'!K37</x:f>
        <x:v>378998</x:v>
      </x:c>
      <x:c r="G37" s="72" t="n">
        <x:f>'Financial_Statements'!K33</x:f>
        <x:v>2940355</x:v>
      </x:c>
      <x:c r="H37" s="72" t="n">
        <x:f>SUM('Financial_Statements'!K45,'Financial_Statements'!K46,'Financial_Statements'!K48,'Financial_Statements'!K49)</x:f>
        <x:v>6375000</x:v>
      </x:c>
      <x:c r="I37" s="73" t="n">
        <x:f>IFERROR('Financial_Statements'!K34/'Financial_Statements'!K7*31,0)</x:f>
        <x:v>56.55614717151228</x:v>
      </x:c>
      <x:c r="J37" s="73" t="n">
        <x:f>IFERROR('Financial_Statements'!K35/ABS('Financial_Statements'!K11)*31,0)</x:f>
        <x:v>51.31838810755812</x:v>
      </x:c>
      <x:c r="K37" s="73" t="n">
        <x:f>IFERROR('Financial_Statements'!K42/ABS('Financial_Statements'!K11)*31,0)</x:f>
        <x:v>51.99498862515027</x:v>
      </x:c>
      <x:c r="L37" s="73" t="n">
        <x:f>I37+J37-K37</x:f>
        <x:v>55.87954665392013</x:v>
      </x:c>
      <x:c r="N37" t="str">
        <x:f>A37</x:f>
        <x:v>2024-10</x:v>
      </x:c>
      <x:c r="O37" s="28" t="n">
        <x:f>G37</x:f>
        <x:v>2940355</x:v>
      </x:c>
      <x:c r="P37" s="28" t="n">
        <x:f>H37</x:f>
        <x:v>6375000</x:v>
      </x:c>
      <x:c r="R37" t="str">
        <x:f>A37</x:f>
        <x:v>2024-10</x:v>
      </x:c>
      <x:c r="S37" s="48" t="n">
        <x:f>L37</x:f>
        <x:v>55.87954665392013</x:v>
      </x:c>
    </x:row>
    <x:row r="38">
      <x:c r="A38" s="71" t="str">
        <x:v>2024-11</x:v>
      </x:c>
      <x:c r="B38" s="72" t="n">
        <x:f>'Financial_Statements'!L7</x:f>
        <x:v>3442880</x:v>
      </x:c>
      <x:c r="C38" s="72" t="n">
        <x:f>'Financial_Statements'!L19</x:f>
        <x:v>601134</x:v>
      </x:c>
      <x:c r="D38" s="72" t="n">
        <x:f>'Financial_Statements'!L30</x:f>
        <x:v>308989</x:v>
      </x:c>
      <x:c r="E38" s="72" t="n">
        <x:f>'Cash_Flow_Model'!L16</x:f>
        <x:v>100597</x:v>
      </x:c>
      <x:c r="F38" s="72" t="n">
        <x:f>'Cash_Flow_Model'!L37</x:f>
        <x:v>-34639</x:v>
      </x:c>
      <x:c r="G38" s="72" t="n">
        <x:f>'Financial_Statements'!L33</x:f>
        <x:v>2865716</x:v>
      </x:c>
      <x:c r="H38" s="72" t="n">
        <x:f>SUM('Financial_Statements'!L45,'Financial_Statements'!L46,'Financial_Statements'!L48,'Financial_Statements'!L49)</x:f>
        <x:v>6350000</x:v>
      </x:c>
      <x:c r="I38" s="73" t="n">
        <x:f>IFERROR('Financial_Statements'!L34/'Financial_Statements'!L7*30,0)</x:f>
        <x:v>56.196942675899244</x:v>
      </x:c>
      <x:c r="J38" s="73" t="n">
        <x:f>IFERROR('Financial_Statements'!L35/ABS('Financial_Statements'!L11)*30,0)</x:f>
        <x:v>50.75156300208336</x:v>
      </x:c>
      <x:c r="K38" s="73" t="n">
        <x:f>IFERROR('Financial_Statements'!L42/ABS('Financial_Statements'!L11)*30,0)</x:f>
        <x:v>51.9908096731953</x:v>
      </x:c>
      <x:c r="L38" s="73" t="n">
        <x:f>I38+J38-K38</x:f>
        <x:v>54.95769600478731</x:v>
      </x:c>
      <x:c r="N38" t="str">
        <x:f>A38</x:f>
        <x:v>2024-11</x:v>
      </x:c>
      <x:c r="O38" s="28" t="n">
        <x:f>G38</x:f>
        <x:v>2865716</x:v>
      </x:c>
      <x:c r="P38" s="28" t="n">
        <x:f>H38</x:f>
        <x:v>6350000</x:v>
      </x:c>
      <x:c r="R38" t="str">
        <x:f>A38</x:f>
        <x:v>2024-11</x:v>
      </x:c>
      <x:c r="S38" s="48" t="n">
        <x:f>L38</x:f>
        <x:v>54.95769600478731</x:v>
      </x:c>
    </x:row>
    <x:row r="39">
      <x:c r="A39" s="71" t="str">
        <x:v>2024-12</x:v>
      </x:c>
      <x:c r="B39" s="72" t="n">
        <x:f>'Financial_Statements'!M7</x:f>
        <x:v>3709680</x:v>
      </x:c>
      <x:c r="C39" s="72" t="n">
        <x:f>'Financial_Statements'!M19</x:f>
        <x:v>648634</x:v>
      </x:c>
      <x:c r="D39" s="72" t="n">
        <x:f>'Financial_Statements'!M30</x:f>
        <x:v>342433</x:v>
      </x:c>
      <x:c r="E39" s="72" t="n">
        <x:f>'Cash_Flow_Model'!M16</x:f>
        <x:v>352752</x:v>
      </x:c>
      <x:c r="F39" s="72" t="n">
        <x:f>'Cash_Flow_Model'!M37</x:f>
        <x:v>225284</x:v>
      </x:c>
      <x:c r="G39" s="72" t="n">
        <x:f>'Financial_Statements'!M33</x:f>
        <x:v>2746000</x:v>
      </x:c>
      <x:c r="H39" s="72" t="n">
        <x:f>SUM('Financial_Statements'!M45,'Financial_Statements'!M46,'Financial_Statements'!M48,'Financial_Statements'!M49)</x:f>
        <x:v>6200000</x:v>
      </x:c>
      <x:c r="I39" s="73" t="n">
        <x:f>IFERROR('Financial_Statements'!M34/'Financial_Statements'!M7*31,0)</x:f>
        <x:v>55.76332325160122</x:v>
      </x:c>
      <x:c r="J39" s="73" t="n">
        <x:f>IFERROR('Financial_Statements'!M35/ABS('Financial_Statements'!M11)*31,0)</x:f>
        <x:v>50.23449564240447</x:v>
      </x:c>
      <x:c r="K39" s="73" t="n">
        <x:f>IFERROR('Financial_Statements'!M42/ABS('Financial_Statements'!M11)*31,0)</x:f>
        <x:v>51.93146554291167</x:v>
      </x:c>
      <x:c r="L39" s="73" t="n">
        <x:f>I39+J39-K39</x:f>
        <x:v>54.06635335109402</x:v>
      </x:c>
      <x:c r="N39" t="str">
        <x:f>A39</x:f>
        <x:v>2024-12</x:v>
      </x:c>
      <x:c r="O39" s="28" t="n">
        <x:f>G39</x:f>
        <x:v>2746000</x:v>
      </x:c>
      <x:c r="P39" s="28" t="n">
        <x:f>H39</x:f>
        <x:v>6200000</x:v>
      </x:c>
      <x:c r="R39" t="str">
        <x:f>A39</x:f>
        <x:v>2024-12</x:v>
      </x:c>
      <x:c r="S39" s="48" t="n">
        <x:f>L39</x:f>
        <x:v>54.06635335109402</x:v>
      </x:c>
    </x:row>
    <x:row r="40">
      <x:c r="A40" s="71" t="str">
        <x:v>2025-01</x:v>
      </x:c>
      <x:c r="B40" s="72" t="n">
        <x:f>'Financial_Statements'!N7</x:f>
        <x:v>2797920</x:v>
      </x:c>
      <x:c r="C40" s="72" t="n">
        <x:f>'Financial_Statements'!N19</x:f>
        <x:v>489580</x:v>
      </x:c>
      <x:c r="D40" s="72" t="n">
        <x:f>'Financial_Statements'!N30</x:f>
        <x:v>220933</x:v>
      </x:c>
      <x:c r="E40" s="72" t="n">
        <x:f>'Cash_Flow_Model'!N16</x:f>
        <x:v>1917001</x:v>
      </x:c>
      <x:c r="F40" s="72" t="n">
        <x:f>'Cash_Flow_Model'!N37</x:f>
        <x:v>1795921</x:v>
      </x:c>
      <x:c r="G40" s="72" t="n">
        <x:f>'Financial_Statements'!N33</x:f>
        <x:v>4501921</x:v>
      </x:c>
      <x:c r="H40" s="72" t="n">
        <x:f>SUM('Financial_Statements'!N45,'Financial_Statements'!N46,'Financial_Statements'!N48,'Financial_Statements'!N49)</x:f>
        <x:v>6175000</x:v>
      </x:c>
      <x:c r="I40" s="73" t="n">
        <x:f>IFERROR('Financial_Statements'!N34/'Financial_Statements'!N7*31,0)</x:f>
        <x:v>55.28223644707497</x:v>
      </x:c>
      <x:c r="J40" s="73" t="n">
        <x:f>IFERROR('Financial_Statements'!N35/ABS('Financial_Statements'!N11)*31,0)</x:f>
        <x:v>49.78782413135528</x:v>
      </x:c>
      <x:c r="K40" s="73" t="n">
        <x:f>IFERROR('Financial_Statements'!N42/ABS('Financial_Statements'!N11)*31,0)</x:f>
        <x:v>51.81860399394899</x:v>
      </x:c>
      <x:c r="L40" s="73" t="n">
        <x:f>I40+J40-K40</x:f>
        <x:v>53.25145658448127</x:v>
      </x:c>
      <x:c r="N40" t="str">
        <x:f>A40</x:f>
        <x:v>2025-01</x:v>
      </x:c>
      <x:c r="O40" s="28" t="n">
        <x:f>G40</x:f>
        <x:v>4501921</x:v>
      </x:c>
      <x:c r="P40" s="28" t="n">
        <x:f>H40</x:f>
        <x:v>6175000</x:v>
      </x:c>
      <x:c r="R40" t="str">
        <x:f>A40</x:f>
        <x:v>2025-01</x:v>
      </x:c>
      <x:c r="S40" s="48" t="n">
        <x:f>L40</x:f>
        <x:v>53.25145658448127</x:v>
      </x:c>
    </x:row>
    <x:row r="41">
      <x:c r="A41" s="71" t="str">
        <x:v>2025-02</x:v>
      </x:c>
      <x:c r="B41" s="72" t="n">
        <x:f>'Financial_Statements'!O7</x:f>
        <x:v>2907366</x:v>
      </x:c>
      <x:c r="C41" s="72" t="n">
        <x:f>'Financial_Statements'!O19</x:f>
        <x:v>508754</x:v>
      </x:c>
      <x:c r="D41" s="72" t="n">
        <x:f>'Financial_Statements'!O30</x:f>
        <x:v>234229</x:v>
      </x:c>
      <x:c r="E41" s="72" t="n">
        <x:f>'Cash_Flow_Model'!O16</x:f>
        <x:v>-255987</x:v>
      </x:c>
      <x:c r="F41" s="72" t="n">
        <x:f>'Cash_Flow_Model'!O37</x:f>
        <x:v>-372762</x:v>
      </x:c>
      <x:c r="G41" s="72" t="n">
        <x:f>'Financial_Statements'!O33</x:f>
        <x:v>4089159</x:v>
      </x:c>
      <x:c r="H41" s="72" t="n">
        <x:f>SUM('Financial_Statements'!O45,'Financial_Statements'!O46,'Financial_Statements'!O48,'Financial_Statements'!O49)</x:f>
        <x:v>6150000</x:v>
      </x:c>
      <x:c r="I41" s="73" t="n">
        <x:f>IFERROR('Financial_Statements'!O34/'Financial_Statements'!O7*28,0)</x:f>
        <x:v>54.783612383167444</x:v>
      </x:c>
      <x:c r="J41" s="73" t="n">
        <x:f>IFERROR('Financial_Statements'!O35/ABS('Financial_Statements'!O11)*28,0)</x:f>
        <x:v>49.429330347067676</x:v>
      </x:c>
      <x:c r="K41" s="73" t="n">
        <x:f>IFERROR('Financial_Statements'!O42/ABS('Financial_Statements'!O11)*28,0)</x:f>
        <x:v>51.65531942853388</x:v>
      </x:c>
      <x:c r="L41" s="73" t="n">
        <x:f>I41+J41-K41</x:f>
        <x:v>52.557623301701234</x:v>
      </x:c>
      <x:c r="N41" t="str">
        <x:f>A41</x:f>
        <x:v>2025-02</x:v>
      </x:c>
      <x:c r="O41" s="28" t="n">
        <x:f>G41</x:f>
        <x:v>4089159</x:v>
      </x:c>
      <x:c r="P41" s="28" t="n">
        <x:f>H41</x:f>
        <x:v>6150000</x:v>
      </x:c>
      <x:c r="R41" t="str">
        <x:f>A41</x:f>
        <x:v>2025-02</x:v>
      </x:c>
      <x:c r="S41" s="48" t="n">
        <x:f>L41</x:f>
        <x:v>52.557623301701234</x:v>
      </x:c>
    </x:row>
    <x:row r="42">
      <x:c r="A42" s="71" t="str">
        <x:v>2025-03</x:v>
      </x:c>
      <x:c r="B42" s="72" t="n">
        <x:f>'Financial_Statements'!P7</x:f>
        <x:v>3143600</x:v>
      </x:c>
      <x:c r="C42" s="72" t="n">
        <x:f>'Financial_Statements'!P19</x:f>
        <x:v>549731</x:v>
      </x:c>
      <x:c r="D42" s="72" t="n">
        <x:f>'Financial_Statements'!P30</x:f>
        <x:v>262576</x:v>
      </x:c>
      <x:c r="E42" s="72" t="n">
        <x:f>'Cash_Flow_Model'!P16</x:f>
        <x:v>645317</x:v>
      </x:c>
      <x:c r="F42" s="72" t="n">
        <x:f>'Cash_Flow_Model'!P37</x:f>
        <x:v>530291</x:v>
      </x:c>
      <x:c r="G42" s="72" t="n">
        <x:f>'Financial_Statements'!P33</x:f>
        <x:v>4424450</x:v>
      </x:c>
      <x:c r="H42" s="72" t="n">
        <x:f>SUM('Financial_Statements'!P45,'Financial_Statements'!P46,'Financial_Statements'!P48,'Financial_Statements'!P49)</x:f>
        <x:v>6000000</x:v>
      </x:c>
      <x:c r="I42" s="73" t="n">
        <x:f>IFERROR('Financial_Statements'!P34/'Financial_Statements'!P7*31,0)</x:f>
        <x:v>54.29842887135768</x:v>
      </x:c>
      <x:c r="J42" s="73" t="n">
        <x:f>IFERROR('Financial_Statements'!P35/ABS('Financial_Statements'!P11)*31,0)</x:f>
        <x:v>49.17333959682887</x:v>
      </x:c>
      <x:c r="K42" s="73" t="n">
        <x:f>IFERROR('Financial_Statements'!P42/ABS('Financial_Statements'!P11)*31,0)</x:f>
        <x:v>51.446174186119876</x:v>
      </x:c>
      <x:c r="L42" s="73" t="n">
        <x:f>I42+J42-K42</x:f>
        <x:v>52.02559428206668</x:v>
      </x:c>
      <x:c r="N42" t="str">
        <x:f>A42</x:f>
        <x:v>2025-03</x:v>
      </x:c>
      <x:c r="O42" s="28" t="n">
        <x:f>G42</x:f>
        <x:v>4424450</x:v>
      </x:c>
      <x:c r="P42" s="28" t="n">
        <x:f>H42</x:f>
        <x:v>6000000</x:v>
      </x:c>
      <x:c r="R42" t="str">
        <x:f>A42</x:f>
        <x:v>2025-03</x:v>
      </x:c>
      <x:c r="S42" s="48" t="n">
        <x:f>L42</x:f>
        <x:v>52.02559428206668</x:v>
      </x:c>
    </x:row>
    <x:row r="43">
      <x:c r="A43" s="71" t="str">
        <x:v>2025-04</x:v>
      </x:c>
      <x:c r="B43" s="72" t="n">
        <x:f>'Financial_Statements'!Q7</x:f>
        <x:v>2911913</x:v>
      </x:c>
      <x:c r="C43" s="72" t="n">
        <x:f>'Financial_Statements'!Q19</x:f>
        <x:v>456125</x:v>
      </x:c>
      <x:c r="D43" s="72" t="n">
        <x:f>'Financial_Statements'!Q30</x:f>
        <x:v>190436</x:v>
      </x:c>
      <x:c r="E43" s="72" t="n">
        <x:f>'Cash_Flow_Model'!Q16</x:f>
        <x:v>-1864938</x:v>
      </x:c>
      <x:c r="F43" s="72" t="n">
        <x:f>'Cash_Flow_Model'!Q37</x:f>
        <x:v>-1980965</x:v>
      </x:c>
      <x:c r="G43" s="72" t="n">
        <x:f>'Financial_Statements'!Q33</x:f>
        <x:v>2403485</x:v>
      </x:c>
      <x:c r="H43" s="72" t="n">
        <x:f>SUM('Financial_Statements'!Q45,'Financial_Statements'!Q46,'Financial_Statements'!Q48,'Financial_Statements'!Q49)</x:f>
        <x:v>5975000</x:v>
      </x:c>
      <x:c r="I43" s="73" t="n">
        <x:f>IFERROR('Financial_Statements'!Q34/'Financial_Statements'!Q7*30,0)</x:f>
        <x:v>67.85687621848592</x:v>
      </x:c>
      <x:c r="J43" s="73" t="n">
        <x:f>IFERROR('Financial_Statements'!Q35/ABS('Financial_Statements'!Q11)*30,0)</x:f>
        <x:v>61.0300173868539</x:v>
      </x:c>
      <x:c r="K43" s="73" t="n">
        <x:f>IFERROR('Financial_Statements'!Q42/ABS('Financial_Statements'!Q11)*30,0)</x:f>
        <x:v>45.196952232402246</x:v>
      </x:c>
      <x:c r="L43" s="73" t="n">
        <x:f>I43+J43-K43</x:f>
        <x:v>83.68994137293757</x:v>
      </x:c>
      <x:c r="N43" t="str">
        <x:f>A43</x:f>
        <x:v>2025-04</x:v>
      </x:c>
      <x:c r="O43" s="28" t="n">
        <x:f>G43</x:f>
        <x:v>2403485</x:v>
      </x:c>
      <x:c r="P43" s="28" t="n">
        <x:f>H43</x:f>
        <x:v>5975000</x:v>
      </x:c>
      <x:c r="R43" t="str">
        <x:f>A43</x:f>
        <x:v>2025-04</x:v>
      </x:c>
      <x:c r="S43" s="48" t="n">
        <x:f>L43</x:f>
        <x:v>83.68994137293757</x:v>
      </x:c>
    </x:row>
    <x:row r="44">
      <x:c r="A44" s="71" t="str">
        <x:v>2025-05</x:v>
      </x:c>
      <x:c r="B44" s="72" t="n">
        <x:f>'Financial_Statements'!R7</x:f>
        <x:v>3047450</x:v>
      </x:c>
      <x:c r="C44" s="72" t="n">
        <x:f>'Financial_Statements'!R19</x:f>
        <x:v>476339</x:v>
      </x:c>
      <x:c r="D44" s="72" t="n">
        <x:f>'Financial_Statements'!R30</x:f>
        <x:v>202246</x:v>
      </x:c>
      <x:c r="E44" s="72" t="n">
        <x:f>'Cash_Flow_Model'!R16</x:f>
        <x:v>316687</x:v>
      </x:c>
      <x:c r="F44" s="72" t="n">
        <x:f>'Cash_Flow_Model'!R37</x:f>
        <x:v>197020</x:v>
      </x:c>
      <x:c r="G44" s="72" t="n">
        <x:f>'Financial_Statements'!R33</x:f>
        <x:v>3660505</x:v>
      </x:c>
      <x:c r="H44" s="72" t="n">
        <x:f>SUM('Financial_Statements'!R45,'Financial_Statements'!R46,'Financial_Statements'!R48,'Financial_Statements'!R49)</x:f>
        <x:v>7050000</x:v>
      </x:c>
      <x:c r="I44" s="73" t="n">
        <x:f>IFERROR('Financial_Statements'!R34/'Financial_Statements'!R7*31,0)</x:f>
        <x:v>67.4863932139986</x:v>
      </x:c>
      <x:c r="J44" s="73" t="n">
        <x:f>IFERROR('Financial_Statements'!R35/ABS('Financial_Statements'!R11)*31,0)</x:f>
        <x:v>61.005119033946414</x:v>
      </x:c>
      <x:c r="K44" s="73" t="n">
        <x:f>IFERROR('Financial_Statements'!R42/ABS('Financial_Statements'!R11)*31,0)</x:f>
        <x:v>44.91455151027908</x:v>
      </x:c>
      <x:c r="L44" s="73" t="n">
        <x:f>I44+J44-K44</x:f>
        <x:v>83.57696073766594</x:v>
      </x:c>
      <x:c r="N44" t="str">
        <x:f>A44</x:f>
        <x:v>2025-05</x:v>
      </x:c>
      <x:c r="O44" s="28" t="n">
        <x:f>G44</x:f>
        <x:v>3660505</x:v>
      </x:c>
      <x:c r="P44" s="28" t="n">
        <x:f>H44</x:f>
        <x:v>7050000</x:v>
      </x:c>
      <x:c r="R44" t="str">
        <x:f>A44</x:f>
        <x:v>2025-05</x:v>
      </x:c>
      <x:c r="S44" s="48" t="n">
        <x:f>L44</x:f>
        <x:v>83.57696073766594</x:v>
      </x:c>
    </x:row>
    <x:row r="45">
      <x:c r="A45" s="71" t="str">
        <x:v>2025-06</x:v>
      </x:c>
      <x:c r="B45" s="72" t="n">
        <x:f>'Financial_Statements'!S7</x:f>
        <x:v>3124214</x:v>
      </x:c>
      <x:c r="C45" s="72" t="n">
        <x:f>'Financial_Statements'!S19</x:f>
        <x:v>487041</x:v>
      </x:c>
      <x:c r="D45" s="72" t="n">
        <x:f>'Financial_Statements'!S30</x:f>
        <x:v>147286</x:v>
      </x:c>
      <x:c r="E45" s="72" t="n">
        <x:f>'Cash_Flow_Model'!S16</x:f>
        <x:v>-64321</x:v>
      </x:c>
      <x:c r="F45" s="72" t="n">
        <x:f>'Cash_Flow_Model'!S37</x:f>
        <x:v>-189866</x:v>
      </x:c>
      <x:c r="G45" s="72" t="n">
        <x:f>'Financial_Statements'!S33</x:f>
        <x:v>3275639</x:v>
      </x:c>
      <x:c r="H45" s="72" t="n">
        <x:f>SUM('Financial_Statements'!S45,'Financial_Statements'!S46,'Financial_Statements'!S48,'Financial_Statements'!S49)</x:f>
        <x:v>6900000</x:v>
      </x:c>
      <x:c r="I45" s="73" t="n">
        <x:f>IFERROR('Financial_Statements'!S34/'Financial_Statements'!S7*30,0)</x:f>
        <x:v>67.21002146459877</x:v>
      </x:c>
      <x:c r="J45" s="73" t="n">
        <x:f>IFERROR('Financial_Statements'!S35/ABS('Financial_Statements'!S11)*30,0)</x:f>
        <x:v>61.09960082849255</x:v>
      </x:c>
      <x:c r="K45" s="73" t="n">
        <x:f>IFERROR('Financial_Statements'!S42/ABS('Financial_Statements'!S11)*30,0)</x:f>
        <x:v>44.60679644731163</x:v>
      </x:c>
      <x:c r="L45" s="73" t="n">
        <x:f>I45+J45-K45</x:f>
        <x:v>83.70282584577967</x:v>
      </x:c>
      <x:c r="N45" t="str">
        <x:f>A45</x:f>
        <x:v>2025-06</x:v>
      </x:c>
      <x:c r="O45" s="28" t="n">
        <x:f>G45</x:f>
        <x:v>3275639</x:v>
      </x:c>
      <x:c r="P45" s="28" t="n">
        <x:f>H45</x:f>
        <x:v>6900000</x:v>
      </x:c>
      <x:c r="R45" t="str">
        <x:f>A45</x:f>
        <x:v>2025-06</x:v>
      </x:c>
      <x:c r="S45" s="48" t="n">
        <x:f>L45</x:f>
        <x:v>83.70282584577967</x:v>
      </x:c>
    </x:row>
    <x:row r="46">
      <x:c r="A46" s="71" t="str">
        <x:v>2025-07</x:v>
      </x:c>
      <x:c r="B46" s="72" t="n">
        <x:f>'Financial_Statements'!T7</x:f>
        <x:v>3116804</x:v>
      </x:c>
      <x:c r="C46" s="72" t="n">
        <x:f>'Financial_Statements'!T19</x:f>
        <x:v>484419</x:v>
      </x:c>
      <x:c r="D46" s="72" t="n">
        <x:f>'Financial_Statements'!T30</x:f>
        <x:v>203374</x:v>
      </x:c>
      <x:c r="E46" s="72" t="n">
        <x:f>'Cash_Flow_Model'!T16</x:f>
        <x:v>668158</x:v>
      </x:c>
      <x:c r="F46" s="72" t="n">
        <x:f>'Cash_Flow_Model'!T37</x:f>
        <x:v>535143</x:v>
      </x:c>
      <x:c r="G46" s="72" t="n">
        <x:f>'Financial_Statements'!T33</x:f>
        <x:v>3770782</x:v>
      </x:c>
      <x:c r="H46" s="72" t="n">
        <x:f>SUM('Financial_Statements'!T45,'Financial_Statements'!T46,'Financial_Statements'!T48,'Financial_Statements'!T49)</x:f>
        <x:v>6875000</x:v>
      </x:c>
      <x:c r="I46" s="73" t="n">
        <x:f>IFERROR('Financial_Statements'!T34/'Financial_Statements'!T7*31,0)</x:f>
        <x:v>67.04494315330705</x:v>
      </x:c>
      <x:c r="J46" s="73" t="n">
        <x:f>IFERROR('Financial_Statements'!T35/ABS('Financial_Statements'!T11)*31,0)</x:f>
        <x:v>61.30972578928276</x:v>
      </x:c>
      <x:c r="K46" s="73" t="n">
        <x:f>IFERROR('Financial_Statements'!T42/ABS('Financial_Statements'!T11)*31,0)</x:f>
        <x:v>44.282240031794345</x:v>
      </x:c>
      <x:c r="L46" s="73" t="n">
        <x:f>I46+J46-K46</x:f>
        <x:v>84.07242891079545</x:v>
      </x:c>
      <x:c r="N46" t="str">
        <x:f>A46</x:f>
        <x:v>2025-07</x:v>
      </x:c>
      <x:c r="O46" s="28" t="n">
        <x:f>G46</x:f>
        <x:v>3770782</x:v>
      </x:c>
      <x:c r="P46" s="28" t="n">
        <x:f>H46</x:f>
        <x:v>6875000</x:v>
      </x:c>
      <x:c r="R46" t="str">
        <x:f>A46</x:f>
        <x:v>2025-07</x:v>
      </x:c>
      <x:c r="S46" s="48" t="n">
        <x:f>L46</x:f>
        <x:v>84.07242891079545</x:v>
      </x:c>
    </x:row>
    <x:row r="47">
      <x:c r="A47" s="71" t="str">
        <x:v>2025-08</x:v>
      </x:c>
      <x:c r="B47" s="72" t="n">
        <x:f>'Financial_Statements'!U7</x:f>
        <x:v>2972152</x:v>
      </x:c>
      <x:c r="C47" s="72" t="n">
        <x:f>'Financial_Statements'!U19</x:f>
        <x:v>513959</x:v>
      </x:c>
      <x:c r="D47" s="72" t="n">
        <x:f>'Financial_Statements'!U30</x:f>
        <x:v>223688</x:v>
      </x:c>
      <x:c r="E47" s="72" t="n">
        <x:f>'Cash_Flow_Model'!U16</x:f>
        <x:v>759125</x:v>
      </x:c>
      <x:c r="F47" s="72" t="n">
        <x:f>'Cash_Flow_Model'!U37</x:f>
        <x:v>617872</x:v>
      </x:c>
      <x:c r="G47" s="72" t="n">
        <x:f>'Financial_Statements'!U33</x:f>
        <x:v>4348654</x:v>
      </x:c>
      <x:c r="H47" s="72" t="n">
        <x:f>SUM('Financial_Statements'!U45,'Financial_Statements'!U46,'Financial_Statements'!U48,'Financial_Statements'!U49)</x:f>
        <x:v>6850000</x:v>
      </x:c>
      <x:c r="I47" s="73" t="n">
        <x:f>IFERROR('Financial_Statements'!U34/'Financial_Statements'!U7*31,0)</x:f>
        <x:v>67.00141479978144</x:v>
      </x:c>
      <x:c r="J47" s="73" t="n">
        <x:f>IFERROR('Financial_Statements'!U35/ABS('Financial_Statements'!U11)*31,0)</x:f>
        <x:v>61.62709593764933</x:v>
      </x:c>
      <x:c r="K47" s="73" t="n">
        <x:f>IFERROR('Financial_Statements'!U42/ABS('Financial_Statements'!U11)*31,0)</x:f>
        <x:v>43.94985287008135</x:v>
      </x:c>
      <x:c r="L47" s="73" t="n">
        <x:f>I47+J47-K47</x:f>
        <x:v>84.67865786734941</x:v>
      </x:c>
      <x:c r="N47" t="str">
        <x:f>A47</x:f>
        <x:v>2025-08</x:v>
      </x:c>
      <x:c r="O47" s="28" t="n">
        <x:f>G47</x:f>
        <x:v>4348654</x:v>
      </x:c>
      <x:c r="P47" s="28" t="n">
        <x:f>H47</x:f>
        <x:v>6850000</x:v>
      </x:c>
      <x:c r="R47" t="str">
        <x:f>A47</x:f>
        <x:v>2025-08</x:v>
      </x:c>
      <x:c r="S47" s="48" t="n">
        <x:f>L47</x:f>
        <x:v>84.67865786734941</x:v>
      </x:c>
    </x:row>
    <x:row r="48">
      <x:c r="A48" s="71" t="str">
        <x:v>2025-09</x:v>
      </x:c>
      <x:c r="B48" s="72" t="n">
        <x:f>'Financial_Statements'!V7</x:f>
        <x:v>3410400</x:v>
      </x:c>
      <x:c r="C48" s="72" t="n">
        <x:f>'Financial_Statements'!V19</x:f>
        <x:v>588063</x:v>
      </x:c>
      <x:c r="D48" s="72" t="n">
        <x:f>'Financial_Statements'!V30</x:f>
        <x:v>299975</x:v>
      </x:c>
      <x:c r="E48" s="72" t="n">
        <x:f>'Cash_Flow_Model'!V16</x:f>
        <x:v>1908711</x:v>
      </x:c>
      <x:c r="F48" s="72" t="n">
        <x:f>'Cash_Flow_Model'!V37</x:f>
        <x:v>1759357</x:v>
      </x:c>
      <x:c r="G48" s="72" t="n">
        <x:f>'Financial_Statements'!V33</x:f>
        <x:v>6063011</x:v>
      </x:c>
      <x:c r="H48" s="72" t="n">
        <x:f>SUM('Financial_Statements'!V45,'Financial_Statements'!V46,'Financial_Statements'!V48,'Financial_Statements'!V49)</x:f>
        <x:v>6700000</x:v>
      </x:c>
      <x:c r="I48" s="73" t="n">
        <x:f>IFERROR('Financial_Statements'!V34/'Financial_Statements'!V7*30,0)</x:f>
        <x:v>53.08215165376495</x:v>
      </x:c>
      <x:c r="J48" s="73" t="n">
        <x:f>IFERROR('Financial_Statements'!V35/ABS('Financial_Statements'!V11)*30,0)</x:f>
        <x:v>50.03906849333751</x:v>
      </x:c>
      <x:c r="K48" s="73" t="n">
        <x:f>IFERROR('Financial_Statements'!V42/ABS('Financial_Statements'!V11)*30,0)</x:f>
        <x:v>49.618861787350696</x:v>
      </x:c>
      <x:c r="L48" s="73" t="n">
        <x:f>I48+J48-K48</x:f>
        <x:v>53.50235835975177</x:v>
      </x:c>
      <x:c r="N48" t="str">
        <x:f>A48</x:f>
        <x:v>2025-09</x:v>
      </x:c>
      <x:c r="O48" s="28" t="n">
        <x:f>G48</x:f>
        <x:v>6063011</x:v>
      </x:c>
      <x:c r="P48" s="28" t="n">
        <x:f>H48</x:f>
        <x:v>6700000</x:v>
      </x:c>
      <x:c r="R48" t="str">
        <x:f>A48</x:f>
        <x:v>2025-09</x:v>
      </x:c>
      <x:c r="S48" s="48" t="n">
        <x:f>L48</x:f>
        <x:v>53.50235835975177</x:v>
      </x:c>
    </x:row>
    <x:row r="49">
      <x:c r="A49" s="71" t="str">
        <x:v>2025-10</x:v>
      </x:c>
      <x:c r="B49" s="72" t="n">
        <x:f>'Financial_Statements'!W7</x:f>
        <x:v>3526632</x:v>
      </x:c>
      <x:c r="C49" s="72" t="n">
        <x:f>'Financial_Statements'!W19</x:f>
        <x:v>606496</x:v>
      </x:c>
      <x:c r="D49" s="72" t="n">
        <x:f>'Financial_Statements'!W30</x:f>
        <x:v>290612</x:v>
      </x:c>
      <x:c r="E49" s="72" t="n">
        <x:f>'Cash_Flow_Model'!W16</x:f>
        <x:v>401057</x:v>
      </x:c>
      <x:c r="F49" s="72" t="n">
        <x:f>'Cash_Flow_Model'!W37</x:f>
        <x:v>244632</x:v>
      </x:c>
      <x:c r="G49" s="72" t="n">
        <x:f>'Financial_Statements'!W33</x:f>
        <x:v>6267643</x:v>
      </x:c>
      <x:c r="H49" s="72" t="n">
        <x:f>SUM('Financial_Statements'!W45,'Financial_Statements'!W46,'Financial_Statements'!W48,'Financial_Statements'!W49)</x:f>
        <x:v>6675000</x:v>
      </x:c>
      <x:c r="I49" s="73" t="n">
        <x:f>IFERROR('Financial_Statements'!W34/'Financial_Statements'!W7*31,0)</x:f>
        <x:v>53.28213122321807</x:v>
      </x:c>
      <x:c r="J49" s="73" t="n">
        <x:f>IFERROR('Financial_Statements'!W35/ABS('Financial_Statements'!W11)*31,0)</x:f>
        <x:v>50.52921457179422</x:v>
      </x:c>
      <x:c r="K49" s="73" t="n">
        <x:f>IFERROR('Financial_Statements'!W42/ABS('Financial_Statements'!W11)*31,0)</x:f>
        <x:v>49.29843294946428</x:v>
      </x:c>
      <x:c r="L49" s="73" t="n">
        <x:f>I49+J49-K49</x:f>
        <x:v>54.51291284554802</x:v>
      </x:c>
      <x:c r="N49" t="str">
        <x:f>A49</x:f>
        <x:v>2025-10</x:v>
      </x:c>
      <x:c r="O49" s="28" t="n">
        <x:f>G49</x:f>
        <x:v>6267643</x:v>
      </x:c>
      <x:c r="P49" s="28" t="n">
        <x:f>H49</x:f>
        <x:v>6675000</x:v>
      </x:c>
      <x:c r="R49" t="str">
        <x:f>A49</x:f>
        <x:v>2025-10</x:v>
      </x:c>
      <x:c r="S49" s="48" t="n">
        <x:f>L49</x:f>
        <x:v>54.51291284554802</x:v>
      </x:c>
    </x:row>
    <x:row r="50">
      <x:c r="A50" s="71" t="str">
        <x:v>2025-11</x:v>
      </x:c>
      <x:c r="B50" s="72" t="n">
        <x:f>'Financial_Statements'!X7</x:f>
        <x:v>3676736</x:v>
      </x:c>
      <x:c r="C50" s="72" t="n">
        <x:f>'Financial_Statements'!X19</x:f>
        <x:v>630863</x:v>
      </x:c>
      <x:c r="D50" s="72" t="n">
        <x:f>'Financial_Statements'!X30</x:f>
        <x:v>306873</x:v>
      </x:c>
      <x:c r="E50" s="72" t="n">
        <x:f>'Cash_Flow_Model'!X16</x:f>
        <x:v>-58059</x:v>
      </x:c>
      <x:c r="F50" s="72" t="n">
        <x:f>'Cash_Flow_Model'!X37</x:f>
        <x:v>-219746</x:v>
      </x:c>
      <x:c r="G50" s="72" t="n">
        <x:f>'Financial_Statements'!X33</x:f>
        <x:v>6007897</x:v>
      </x:c>
      <x:c r="H50" s="72" t="n">
        <x:f>SUM('Financial_Statements'!X45,'Financial_Statements'!X46,'Financial_Statements'!X48,'Financial_Statements'!X49)</x:f>
        <x:v>6650000</x:v>
      </x:c>
      <x:c r="I50" s="73" t="n">
        <x:f>IFERROR('Financial_Statements'!X34/'Financial_Statements'!X7*30,0)</x:f>
        <x:v>53.58892234851781</x:v>
      </x:c>
      <x:c r="J50" s="73" t="n">
        <x:f>IFERROR('Financial_Statements'!X35/ABS('Financial_Statements'!X11)*30,0)</x:f>
        <x:v>51.077999598806535</x:v>
      </x:c>
      <x:c r="K50" s="73" t="n">
        <x:f>IFERROR('Financial_Statements'!X42/ABS('Financial_Statements'!X11)*30,0)</x:f>
        <x:v>48.99744555425238</x:v>
      </x:c>
      <x:c r="L50" s="73" t="n">
        <x:f>I50+J50-K50</x:f>
        <x:v>55.66947639307196</x:v>
      </x:c>
      <x:c r="N50" t="str">
        <x:f>A50</x:f>
        <x:v>2025-11</x:v>
      </x:c>
      <x:c r="O50" s="28" t="n">
        <x:f>G50</x:f>
        <x:v>6007897</x:v>
      </x:c>
      <x:c r="P50" s="28" t="n">
        <x:f>H50</x:f>
        <x:v>6650000</x:v>
      </x:c>
      <x:c r="R50" t="str">
        <x:f>A50</x:f>
        <x:v>2025-11</x:v>
      </x:c>
      <x:c r="S50" s="48" t="n">
        <x:f>L50</x:f>
        <x:v>55.66947639307196</x:v>
      </x:c>
    </x:row>
    <x:row r="51">
      <x:c r="A51" s="71" t="str">
        <x:v>2025-12</x:v>
      </x:c>
      <x:c r="B51" s="72" t="n">
        <x:f>'Financial_Statements'!Y7</x:f>
        <x:v>3960240</x:v>
      </x:c>
      <x:c r="C51" s="72" t="n">
        <x:f>'Financial_Statements'!Y19</x:f>
        <x:v>678300</x:v>
      </x:c>
      <x:c r="D51" s="72" t="n">
        <x:f>'Financial_Statements'!Y30</x:f>
        <x:v>340157</x:v>
      </x:c>
      <x:c r="E51" s="72" t="n">
        <x:f>'Cash_Flow_Model'!Y16</x:f>
        <x:v>172034</x:v>
      </x:c>
      <x:c r="F51" s="72" t="n">
        <x:f>'Cash_Flow_Model'!Y37</x:f>
        <x:v>7471</x:v>
      </x:c>
      <x:c r="G51" s="72" t="n">
        <x:f>'Financial_Statements'!Y33</x:f>
        <x:v>5620368</x:v>
      </x:c>
      <x:c r="H51" s="72" t="n">
        <x:f>SUM('Financial_Statements'!Y45,'Financial_Statements'!Y46,'Financial_Statements'!Y48,'Financial_Statements'!Y49)</x:f>
        <x:v>6500000</x:v>
      </x:c>
      <x:c r="I51" s="73" t="n">
        <x:f>IFERROR('Financial_Statements'!Y34/'Financial_Statements'!Y7*31,0)</x:f>
        <x:v>53.983439640021814</x:v>
      </x:c>
      <x:c r="J51" s="73" t="n">
        <x:f>IFERROR('Financial_Statements'!Y35/ABS('Financial_Statements'!Y11)*31,0)</x:f>
        <x:v>51.66353727771684</x:v>
      </x:c>
      <x:c r="K51" s="73" t="n">
        <x:f>IFERROR('Financial_Statements'!Y42/ABS('Financial_Statements'!Y11)*31,0)</x:f>
        <x:v>48.72424787075856</x:v>
      </x:c>
      <x:c r="L51" s="73" t="n">
        <x:f>I51+J51-K51</x:f>
        <x:v>56.922729046980095</x:v>
      </x:c>
      <x:c r="N51" t="str">
        <x:f>A51</x:f>
        <x:v>2025-12</x:v>
      </x:c>
      <x:c r="O51" s="28" t="n">
        <x:f>G51</x:f>
        <x:v>5620368</x:v>
      </x:c>
      <x:c r="P51" s="28" t="n">
        <x:f>H51</x:f>
        <x:v>6500000</x:v>
      </x:c>
      <x:c r="R51" t="str">
        <x:f>A51</x:f>
        <x:v>2025-12</x:v>
      </x:c>
      <x:c r="S51" s="48" t="n">
        <x:f>L51</x:f>
        <x:v>56.922729046980095</x:v>
      </x:c>
    </x:row>
    <x:row r="52">
      <x:c r="A52" s="71" t="str">
        <x:v>2026-01</x:v>
      </x:c>
      <x:c r="B52" s="72" t="n">
        <x:f>'Financial_Statements'!Z7</x:f>
        <x:v>2985840</x:v>
      </x:c>
      <x:c r="C52" s="72" t="n">
        <x:f>'Financial_Statements'!Z19</x:f>
        <x:v>498873</x:v>
      </x:c>
      <x:c r="D52" s="72" t="n">
        <x:f>'Financial_Statements'!Z30</x:f>
        <x:v>203639</x:v>
      </x:c>
      <x:c r="E52" s="72" t="n">
        <x:f>'Cash_Flow_Model'!Z16</x:f>
        <x:v>1909741</x:v>
      </x:c>
      <x:c r="F52" s="72" t="n">
        <x:f>'Cash_Flow_Model'!Z37</x:f>
        <x:v>1745007</x:v>
      </x:c>
      <x:c r="G52" s="72" t="n">
        <x:f>'Financial_Statements'!Z33</x:f>
        <x:v>7325375</x:v>
      </x:c>
      <x:c r="H52" s="72" t="n">
        <x:f>SUM('Financial_Statements'!Z45,'Financial_Statements'!Z46,'Financial_Statements'!Z48,'Financial_Statements'!Z49)</x:f>
        <x:v>6475000</x:v>
      </x:c>
      <x:c r="I52" s="73" t="n">
        <x:f>IFERROR('Financial_Statements'!Z34/'Financial_Statements'!Z7*31,0)</x:f>
        <x:v>54.44116998901482</x:v>
      </x:c>
      <x:c r="J52" s="73" t="n">
        <x:f>IFERROR('Financial_Statements'!Z35/ABS('Financial_Statements'!Z11)*31,0)</x:f>
        <x:v>52.26248973560704</x:v>
      </x:c>
      <x:c r="K52" s="73" t="n">
        <x:f>IFERROR('Financial_Statements'!Z42/ABS('Financial_Statements'!Z11)*31,0)</x:f>
        <x:v>48.48638924803446</x:v>
      </x:c>
      <x:c r="L52" s="73" t="n">
        <x:f>I52+J52-K52</x:f>
        <x:v>58.217270476587395</x:v>
      </x:c>
      <x:c r="N52" t="str">
        <x:f>A52</x:f>
        <x:v>2026-01</x:v>
      </x:c>
      <x:c r="O52" s="28" t="n">
        <x:f>G52</x:f>
        <x:v>7325375</x:v>
      </x:c>
      <x:c r="P52" s="28" t="n">
        <x:f>H52</x:f>
        <x:v>6475000</x:v>
      </x:c>
      <x:c r="R52" t="str">
        <x:f>A52</x:f>
        <x:v>2026-01</x:v>
      </x:c>
      <x:c r="S52" s="48" t="n">
        <x:f>L52</x:f>
        <x:v>58.217270476587395</x:v>
      </x:c>
    </x:row>
    <x:row r="53">
      <x:c r="A53" s="71" t="str">
        <x:v>2026-02</x:v>
      </x:c>
      <x:c r="B53" s="72" t="n">
        <x:f>'Financial_Statements'!AA7</x:f>
        <x:v>3101550</x:v>
      </x:c>
      <x:c r="C53" s="72" t="n">
        <x:f>'Financial_Statements'!AA19</x:f>
        <x:v>517962</x:v>
      </x:c>
      <x:c r="D53" s="72" t="n">
        <x:f>'Financial_Statements'!AA30</x:f>
        <x:v>216841</x:v>
      </x:c>
      <x:c r="E53" s="72" t="n">
        <x:f>'Cash_Flow_Model'!AA16</x:f>
        <x:v>-495060</x:v>
      </x:c>
      <x:c r="F53" s="72" t="n">
        <x:f>'Cash_Flow_Model'!AA37</x:f>
        <x:v>-657242</x:v>
      </x:c>
      <x:c r="G53" s="72" t="n">
        <x:f>'Financial_Statements'!AA33</x:f>
        <x:v>6628133</x:v>
      </x:c>
      <x:c r="H53" s="72" t="n">
        <x:f>SUM('Financial_Statements'!AA45,'Financial_Statements'!AA46,'Financial_Statements'!AA48,'Financial_Statements'!AA49)</x:f>
        <x:v>6450000</x:v>
      </x:c>
      <x:c r="I53" s="73" t="n">
        <x:f>IFERROR('Financial_Statements'!AA34/'Financial_Statements'!AA7*28,0)</x:f>
        <x:v>54.933642855991366</x:v>
      </x:c>
      <x:c r="J53" s="73" t="n">
        <x:f>IFERROR('Financial_Statements'!AA35/ABS('Financial_Statements'!AA11)*28,0)</x:f>
        <x:v>52.85098169225224</x:v>
      </x:c>
      <x:c r="K53" s="73" t="n">
        <x:f>IFERROR('Financial_Statements'!AA42/ABS('Financial_Statements'!AA11)*28,0)</x:f>
        <x:v>48.290500998054235</x:v>
      </x:c>
      <x:c r="L53" s="73" t="n">
        <x:f>I53+J53-K53</x:f>
        <x:v>59.49412355018938</x:v>
      </x:c>
      <x:c r="N53" t="str">
        <x:f>A53</x:f>
        <x:v>2026-02</x:v>
      </x:c>
      <x:c r="O53" s="28" t="n">
        <x:f>G53</x:f>
        <x:v>6628133</x:v>
      </x:c>
      <x:c r="P53" s="28" t="n">
        <x:f>H53</x:f>
        <x:v>6450000</x:v>
      </x:c>
      <x:c r="R53" t="str">
        <x:f>A53</x:f>
        <x:v>2026-02</x:v>
      </x:c>
      <x:c r="S53" s="48" t="n">
        <x:f>L53</x:f>
        <x:v>59.49412355018938</x:v>
      </x:c>
    </x:row>
    <x:row r="54">
      <x:c r="A54" s="71" t="str">
        <x:v>2026-03</x:v>
      </x:c>
      <x:c r="B54" s="72" t="n">
        <x:f>'Financial_Statements'!AB7</x:f>
        <x:v>3469734</x:v>
      </x:c>
      <x:c r="C54" s="72" t="n">
        <x:f>'Financial_Statements'!AB19</x:f>
        <x:v>579607</x:v>
      </x:c>
      <x:c r="D54" s="72" t="n">
        <x:f>'Financial_Statements'!AB30</x:f>
        <x:v>260520</x:v>
      </x:c>
      <x:c r="E54" s="72" t="n">
        <x:f>'Cash_Flow_Model'!AB16</x:f>
        <x:v>1331453</x:v>
      </x:c>
      <x:c r="F54" s="72" t="n">
        <x:f>'Cash_Flow_Model'!AB37</x:f>
        <x:v>1174264</x:v>
      </x:c>
      <x:c r="G54" s="72" t="n">
        <x:f>'Financial_Statements'!AB33</x:f>
        <x:v>7607397</x:v>
      </x:c>
      <x:c r="H54" s="72" t="n">
        <x:f>SUM('Financial_Statements'!AB45,'Financial_Statements'!AB46,'Financial_Statements'!AB48,'Financial_Statements'!AB49)</x:f>
        <x:v>6300000</x:v>
      </x:c>
      <x:c r="I54" s="73" t="n">
        <x:f>IFERROR('Financial_Statements'!AB34/'Financial_Statements'!AB7*31,0)</x:f>
        <x:v>51.4302355742544</x:v>
      </x:c>
      <x:c r="J54" s="73" t="n">
        <x:f>IFERROR('Financial_Statements'!AB35/ABS('Financial_Statements'!AB11)*31,0)</x:f>
        <x:v>48.405550608489165</x:v>
      </x:c>
      <x:c r="K54" s="73" t="n">
        <x:f>IFERROR('Financial_Statements'!AB42/ABS('Financial_Statements'!AB11)*31,0)</x:f>
        <x:v>51.14197091124963</x:v>
      </x:c>
      <x:c r="L54" s="73" t="n">
        <x:f>I54+J54-K54</x:f>
        <x:v>48.69381527149393</x:v>
      </x:c>
      <x:c r="N54" t="str">
        <x:f>A54</x:f>
        <x:v>2026-03</x:v>
      </x:c>
      <x:c r="O54" s="28" t="n">
        <x:f>G54</x:f>
        <x:v>7607397</x:v>
      </x:c>
      <x:c r="P54" s="28" t="n">
        <x:f>H54</x:f>
        <x:v>6300000</x:v>
      </x:c>
      <x:c r="R54" t="str">
        <x:f>A54</x:f>
        <x:v>2026-03</x:v>
      </x:c>
      <x:c r="S54" s="48" t="n">
        <x:f>L54</x:f>
        <x:v>48.69381527149393</x:v>
      </x:c>
    </x:row>
    <x:row r="55">
      <x:c r="A55" s="71" t="str">
        <x:v>2026-04</x:v>
      </x:c>
      <x:c r="B55" s="72" t="n">
        <x:f>'Financial_Statements'!AC7</x:f>
        <x:v>3417988</x:v>
      </x:c>
      <x:c r="C55" s="72" t="n">
        <x:f>'Financial_Statements'!AC19</x:f>
        <x:v>612550</x:v>
      </x:c>
      <x:c r="D55" s="72" t="n">
        <x:f>'Financial_Statements'!AC30</x:f>
        <x:v>284014</x:v>
      </x:c>
      <x:c r="E55" s="72" t="n">
        <x:f>'Cash_Flow_Model'!AC16</x:f>
        <x:v>296708</x:v>
      </x:c>
      <x:c r="F55" s="72" t="n">
        <x:f>'Cash_Flow_Model'!AC37</x:f>
        <x:v>146405</x:v>
      </x:c>
      <x:c r="G55" s="72" t="n">
        <x:f>'Financial_Statements'!AC33</x:f>
        <x:v>7713802</x:v>
      </x:c>
      <x:c r="H55" s="72" t="n">
        <x:f>SUM('Financial_Statements'!AC45,'Financial_Statements'!AC46,'Financial_Statements'!AC48,'Financial_Statements'!AC49)</x:f>
        <x:v>6275000</x:v>
      </x:c>
      <x:c r="I55" s="73" t="n">
        <x:f>IFERROR('Financial_Statements'!AC34/'Financial_Statements'!AC7*30,0)</x:f>
        <x:v>51.90008566443182</x:v>
      </x:c>
      <x:c r="J55" s="73" t="n">
        <x:f>IFERROR('Financial_Statements'!AC35/ABS('Financial_Statements'!AC11)*30,0)</x:f>
        <x:v>48.90407331500888</x:v>
      </x:c>
      <x:c r="K55" s="73" t="n">
        <x:f>IFERROR('Financial_Statements'!AC42/ABS('Financial_Statements'!AC11)*30,0)</x:f>
        <x:v>51.044940204193864</x:v>
      </x:c>
      <x:c r="L55" s="73" t="n">
        <x:f>I55+J55-K55</x:f>
        <x:v>49.759218775246836</x:v>
      </x:c>
      <x:c r="N55" t="str">
        <x:f>A55</x:f>
        <x:v>2026-04</x:v>
      </x:c>
      <x:c r="O55" s="28" t="n">
        <x:f>G55</x:f>
        <x:v>7713802</x:v>
      </x:c>
      <x:c r="P55" s="28" t="n">
        <x:f>H55</x:f>
        <x:v>6275000</x:v>
      </x:c>
      <x:c r="R55" t="str">
        <x:f>A55</x:f>
        <x:v>2026-04</x:v>
      </x:c>
      <x:c r="S55" s="48" t="n">
        <x:f>L55</x:f>
        <x:v>49.759218775246836</x:v>
      </x:c>
    </x:row>
    <x:row r="56">
      <x:c r="A56" s="71" t="str">
        <x:v>2026-05</x:v>
      </x:c>
      <x:c r="B56" s="72" t="n">
        <x:f>'Financial_Statements'!AD7</x:f>
        <x:v>3575867</x:v>
      </x:c>
      <x:c r="C56" s="72" t="n">
        <x:f>'Financial_Statements'!AD19</x:f>
        <x:v>641841</x:v>
      </x:c>
      <x:c r="D56" s="72" t="n">
        <x:f>'Financial_Statements'!AD30</x:f>
        <x:v>303909</x:v>
      </x:c>
      <x:c r="E56" s="72" t="n">
        <x:f>'Cash_Flow_Model'!AD16</x:f>
        <x:v>382666</x:v>
      </x:c>
      <x:c r="F56" s="72" t="n">
        <x:f>'Cash_Flow_Model'!AD37</x:f>
        <x:v>240383</x:v>
      </x:c>
      <x:c r="G56" s="72" t="n">
        <x:f>'Financial_Statements'!AD33</x:f>
        <x:v>7914185</x:v>
      </x:c>
      <x:c r="H56" s="72" t="n">
        <x:f>SUM('Financial_Statements'!AD45,'Financial_Statements'!AD46,'Financial_Statements'!AD48,'Financial_Statements'!AD49)</x:f>
        <x:v>6250000</x:v>
      </x:c>
      <x:c r="I56" s="73" t="n">
        <x:f>IFERROR('Financial_Statements'!AD34/'Financial_Statements'!AD7*31,0)</x:f>
        <x:v>52.31396889201975</x:v>
      </x:c>
      <x:c r="J56" s="73" t="n">
        <x:f>IFERROR('Financial_Statements'!AD35/ABS('Financial_Statements'!AD11)*31,0)</x:f>
        <x:v>49.32669609178666</x:v>
      </x:c>
      <x:c r="K56" s="73" t="n">
        <x:f>IFERROR('Financial_Statements'!AD42/ABS('Financial_Statements'!AD11)*31,0)</x:f>
        <x:v>51.002089809182266</x:v>
      </x:c>
      <x:c r="L56" s="73" t="n">
        <x:f>I56+J56-K56</x:f>
        <x:v>50.63857517462414</x:v>
      </x:c>
      <x:c r="N56" t="str">
        <x:f>A56</x:f>
        <x:v>2026-05</x:v>
      </x:c>
      <x:c r="O56" s="28" t="n">
        <x:f>G56</x:f>
        <x:v>7914185</x:v>
      </x:c>
      <x:c r="P56" s="28" t="n">
        <x:f>H56</x:f>
        <x:v>6250000</x:v>
      </x:c>
      <x:c r="R56" t="str">
        <x:f>A56</x:f>
        <x:v>2026-05</x:v>
      </x:c>
      <x:c r="S56" s="48" t="n">
        <x:f>L56</x:f>
        <x:v>50.63857517462414</x:v>
      </x:c>
    </x:row>
    <x:row r="57">
      <x:c r="A57" s="71" t="str">
        <x:v>2026-06</x:v>
      </x:c>
      <x:c r="B57" s="72" t="n">
        <x:f>'Financial_Statements'!AE7</x:f>
        <x:v>3664711</x:v>
      </x:c>
      <x:c r="C57" s="72" t="n">
        <x:f>'Financial_Statements'!AE19</x:f>
        <x:v>659150</x:v>
      </x:c>
      <x:c r="D57" s="72" t="n">
        <x:f>'Financial_Statements'!AE30</x:f>
        <x:v>314873</x:v>
      </x:c>
      <x:c r="E57" s="72" t="n">
        <x:f>'Cash_Flow_Model'!AE16</x:f>
        <x:v>124655</x:v>
      </x:c>
      <x:c r="F57" s="72" t="n">
        <x:f>'Cash_Flow_Model'!AE37</x:f>
        <x:v>-9357</x:v>
      </x:c>
      <x:c r="G57" s="72" t="n">
        <x:f>'Financial_Statements'!AE33</x:f>
        <x:v>7709828</x:v>
      </x:c>
      <x:c r="H57" s="72" t="n">
        <x:f>SUM('Financial_Statements'!AE45,'Financial_Statements'!AE46,'Financial_Statements'!AE48,'Financial_Statements'!AE49)</x:f>
        <x:v>6100000</x:v>
      </x:c>
      <x:c r="I57" s="73" t="n">
        <x:f>IFERROR('Financial_Statements'!AE34/'Financial_Statements'!AE7*30,0)</x:f>
        <x:v>52.64616227582475</x:v>
      </x:c>
      <x:c r="J57" s="73" t="n">
        <x:f>IFERROR('Financial_Statements'!AE35/ABS('Financial_Statements'!AE11)*30,0)</x:f>
        <x:v>49.65655942454348</x:v>
      </x:c>
      <x:c r="K57" s="73" t="n">
        <x:f>IFERROR('Financial_Statements'!AE42/ABS('Financial_Statements'!AE11)*30,0)</x:f>
        <x:v>51.01460609875501</x:v>
      </x:c>
      <x:c r="L57" s="73" t="n">
        <x:f>I57+J57-K57</x:f>
        <x:v>51.28811560161323</x:v>
      </x:c>
      <x:c r="N57" t="str">
        <x:f>A57</x:f>
        <x:v>2026-06</x:v>
      </x:c>
      <x:c r="O57" s="28" t="n">
        <x:f>G57</x:f>
        <x:v>7709828</x:v>
      </x:c>
      <x:c r="P57" s="28" t="n">
        <x:f>H57</x:f>
        <x:v>6100000</x:v>
      </x:c>
      <x:c r="R57" t="str">
        <x:f>A57</x:f>
        <x:v>2026-06</x:v>
      </x:c>
      <x:c r="S57" s="48" t="n">
        <x:f>L57</x:f>
        <x:v>51.28811560161323</x:v>
      </x:c>
    </x:row>
    <x:row r="58">
      <x:c r="A58" s="71" t="str">
        <x:v>2026-07</x:v>
      </x:c>
      <x:c r="B58" s="72" t="n">
        <x:f>'Financial_Statements'!AF7</x:f>
        <x:v>3435517</x:v>
      </x:c>
      <x:c r="C58" s="72" t="n">
        <x:f>'Financial_Statements'!AF19</x:f>
        <x:v>619447</x:v>
      </x:c>
      <x:c r="D58" s="72" t="n">
        <x:f>'Financial_Statements'!AF30</x:f>
        <x:v>282836</x:v>
      </x:c>
      <x:c r="E58" s="72" t="n">
        <x:f>'Cash_Flow_Model'!AF16</x:f>
        <x:v>1012199</x:v>
      </x:c>
      <x:c r="F58" s="72" t="n">
        <x:f>'Cash_Flow_Model'!AF37</x:f>
        <x:v>885800</x:v>
      </x:c>
      <x:c r="G58" s="72" t="n">
        <x:f>'Financial_Statements'!AF33</x:f>
        <x:v>8555628</x:v>
      </x:c>
      <x:c r="H58" s="72" t="n">
        <x:f>SUM('Financial_Statements'!AF45,'Financial_Statements'!AF46,'Financial_Statements'!AF48,'Financial_Statements'!AF49)</x:f>
        <x:v>6075000</x:v>
      </x:c>
      <x:c r="I58" s="73" t="n">
        <x:f>IFERROR('Financial_Statements'!AF34/'Financial_Statements'!AF7*31,0)</x:f>
        <x:v>52.87600206897535</x:v>
      </x:c>
      <x:c r="J58" s="73" t="n">
        <x:f>IFERROR('Financial_Statements'!AF35/ABS('Financial_Statements'!AF11)*31,0)</x:f>
        <x:v>49.88050499394412</x:v>
      </x:c>
      <x:c r="K58" s="73" t="n">
        <x:f>IFERROR('Financial_Statements'!AF42/ABS('Financial_Statements'!AF11)*31,0)</x:f>
        <x:v>51.08214489221517</x:v>
      </x:c>
      <x:c r="L58" s="73" t="n">
        <x:f>I58+J58-K58</x:f>
        <x:v>51.6743621707043</x:v>
      </x:c>
      <x:c r="N58" t="str">
        <x:f>A58</x:f>
        <x:v>2026-07</x:v>
      </x:c>
      <x:c r="O58" s="28" t="n">
        <x:f>G58</x:f>
        <x:v>8555628</x:v>
      </x:c>
      <x:c r="P58" s="28" t="n">
        <x:f>H58</x:f>
        <x:v>6075000</x:v>
      </x:c>
      <x:c r="R58" t="str">
        <x:f>A58</x:f>
        <x:v>2026-07</x:v>
      </x:c>
      <x:c r="S58" s="48" t="n">
        <x:f>L58</x:f>
        <x:v>51.6743621707043</x:v>
      </x:c>
    </x:row>
    <x:row r="59">
      <x:c r="A59" s="71" t="str">
        <x:v>2026-08</x:v>
      </x:c>
      <x:c r="B59" s="72" t="n">
        <x:f>'Financial_Statements'!AG7</x:f>
        <x:v>3274997</x:v>
      </x:c>
      <x:c r="C59" s="72" t="n">
        <x:f>'Financial_Statements'!AG19</x:f>
        <x:v>592095</x:v>
      </x:c>
      <x:c r="D59" s="72" t="n">
        <x:f>'Financial_Statements'!AG30</x:f>
        <x:v>260692</x:v>
      </x:c>
      <x:c r="E59" s="72" t="n">
        <x:f>'Cash_Flow_Model'!AG16</x:f>
        <x:v>710519</x:v>
      </x:c>
      <x:c r="F59" s="72" t="n">
        <x:f>'Cash_Flow_Model'!AG37</x:f>
        <x:v>590234</x:v>
      </x:c>
      <x:c r="G59" s="72" t="n">
        <x:f>'Financial_Statements'!AG33</x:f>
        <x:v>9105862</x:v>
      </x:c>
      <x:c r="H59" s="72" t="n">
        <x:f>SUM('Financial_Statements'!AG45,'Financial_Statements'!AG46,'Financial_Statements'!AG48,'Financial_Statements'!AG49)</x:f>
        <x:v>6050000</x:v>
      </x:c>
      <x:c r="I59" s="73" t="n">
        <x:f>IFERROR('Financial_Statements'!AG34/'Financial_Statements'!AG7*31,0)</x:f>
        <x:v>52.98919571529379</x:v>
      </x:c>
      <x:c r="J59" s="73" t="n">
        <x:f>IFERROR('Financial_Statements'!AG35/ABS('Financial_Statements'!AG11)*31,0)</x:f>
        <x:v>49.98961934492881</x:v>
      </x:c>
      <x:c r="K59" s="73" t="n">
        <x:f>IFERROR('Financial_Statements'!AG42/ABS('Financial_Statements'!AG11)*31,0)</x:f>
        <x:v>51.20284404486381</x:v>
      </x:c>
      <x:c r="L59" s="73" t="n">
        <x:f>I59+J59-K59</x:f>
        <x:v>51.77597101535879</x:v>
      </x:c>
      <x:c r="N59" t="str">
        <x:f>A59</x:f>
        <x:v>2026-08</x:v>
      </x:c>
      <x:c r="O59" s="28" t="n">
        <x:f>G59</x:f>
        <x:v>9105862</x:v>
      </x:c>
      <x:c r="P59" s="28" t="n">
        <x:f>H59</x:f>
        <x:v>6050000</x:v>
      </x:c>
      <x:c r="R59" t="str">
        <x:f>A59</x:f>
        <x:v>2026-08</x:v>
      </x:c>
      <x:c r="S59" s="48" t="n">
        <x:f>L59</x:f>
        <x:v>51.77597101535879</x:v>
      </x:c>
    </x:row>
    <x:row r="60">
      <x:c r="A60" s="71" t="str">
        <x:v>2026-09</x:v>
      </x:c>
      <x:c r="B60" s="72" t="n">
        <x:f>'Financial_Statements'!AH7</x:f>
        <x:v>3756677</x:v>
      </x:c>
      <x:c r="C60" s="72" t="n">
        <x:f>'Financial_Statements'!AH19</x:f>
        <x:v>681052</x:v>
      </x:c>
      <x:c r="D60" s="72" t="n">
        <x:f>'Financial_Statements'!AH30</x:f>
        <x:v>325603</x:v>
      </x:c>
      <x:c r="E60" s="72" t="n">
        <x:f>'Cash_Flow_Model'!AH16</x:f>
        <x:v>-392367</x:v>
      </x:c>
      <x:c r="F60" s="72" t="n">
        <x:f>'Cash_Flow_Model'!AH37</x:f>
        <x:v>-1028707</x:v>
      </x:c>
      <x:c r="G60" s="72" t="n">
        <x:f>'Financial_Statements'!AH33</x:f>
        <x:v>7882155</x:v>
      </x:c>
      <x:c r="H60" s="72" t="n">
        <x:f>SUM('Financial_Statements'!AH45,'Financial_Statements'!AH46,'Financial_Statements'!AH48,'Financial_Statements'!AH49)</x:f>
        <x:v>5900000</x:v>
      </x:c>
      <x:c r="I60" s="73" t="n">
        <x:f>IFERROR('Financial_Statements'!AH34/'Financial_Statements'!AH7*30,0)</x:f>
        <x:v>52.978717627307326</x:v>
      </x:c>
      <x:c r="J60" s="73" t="n">
        <x:f>IFERROR('Financial_Statements'!AH35/ABS('Financial_Statements'!AH11)*30,0)</x:f>
        <x:v>49.979548275409336</x:v>
      </x:c>
      <x:c r="K60" s="73" t="n">
        <x:f>IFERROR('Financial_Statements'!AH42/ABS('Financial_Statements'!AH11)*30,0)</x:f>
        <x:v>51.373338043591545</x:v>
      </x:c>
      <x:c r="L60" s="73" t="n">
        <x:f>I60+J60-K60</x:f>
        <x:v>51.584927859125116</x:v>
      </x:c>
      <x:c r="N60" t="str">
        <x:f>A60</x:f>
        <x:v>2026-09</x:v>
      </x:c>
      <x:c r="O60" s="28" t="n">
        <x:f>G60</x:f>
        <x:v>7882155</x:v>
      </x:c>
      <x:c r="P60" s="28" t="n">
        <x:f>H60</x:f>
        <x:v>5900000</x:v>
      </x:c>
      <x:c r="R60" t="str">
        <x:f>A60</x:f>
        <x:v>2026-09</x:v>
      </x:c>
      <x:c r="S60" s="48" t="n">
        <x:f>L60</x:f>
        <x:v>51.584927859125116</x:v>
      </x:c>
    </x:row>
    <x:row r="61">
      <x:c r="A61" s="71" t="str">
        <x:v>2026-10</x:v>
      </x:c>
      <x:c r="B61" s="72" t="n">
        <x:f>'Financial_Statements'!AI7</x:f>
        <x:v>3883461</x:v>
      </x:c>
      <x:c r="C61" s="72" t="n">
        <x:f>'Financial_Statements'!AI19</x:f>
        <x:v>705901</x:v>
      </x:c>
      <x:c r="D61" s="72" t="n">
        <x:f>'Financial_Statements'!AI30</x:f>
        <x:v>341368</x:v>
      </x:c>
      <x:c r="E61" s="72" t="n">
        <x:f>'Cash_Flow_Model'!AI16</x:f>
        <x:v>620478</x:v>
      </x:c>
      <x:c r="F61" s="72" t="n">
        <x:f>'Cash_Flow_Model'!AI37</x:f>
        <x:v>505478</x:v>
      </x:c>
      <x:c r="G61" s="72" t="n">
        <x:f>'Financial_Statements'!AI33</x:f>
        <x:v>8347633</x:v>
      </x:c>
      <x:c r="H61" s="72" t="n">
        <x:f>SUM('Financial_Statements'!AI45,'Financial_Statements'!AI46,'Financial_Statements'!AI48,'Financial_Statements'!AI49)</x:f>
        <x:v>5875000</x:v>
      </x:c>
      <x:c r="I61" s="73" t="n">
        <x:f>IFERROR('Financial_Statements'!AI34/'Financial_Statements'!AI7*31,0)</x:f>
        <x:v>52.845205346468006</x:v>
      </x:c>
      <x:c r="J61" s="73" t="n">
        <x:f>IFERROR('Financial_Statements'!AI35/ABS('Financial_Statements'!AI11)*31,0)</x:f>
        <x:v>49.85069588865083</x:v>
      </x:c>
      <x:c r="K61" s="73" t="n">
        <x:f>IFERROR('Financial_Statements'!AI42/ABS('Financial_Statements'!AI11)*31,0)</x:f>
        <x:v>51.58892007526046</x:v>
      </x:c>
      <x:c r="L61" s="73" t="n">
        <x:f>I61+J61-K61</x:f>
        <x:v>51.10698115985838</x:v>
      </x:c>
      <x:c r="N61" t="str">
        <x:f>A61</x:f>
        <x:v>2026-10</x:v>
      </x:c>
      <x:c r="O61" s="28" t="n">
        <x:f>G61</x:f>
        <x:v>8347633</x:v>
      </x:c>
      <x:c r="P61" s="28" t="n">
        <x:f>H61</x:f>
        <x:v>5875000</x:v>
      </x:c>
      <x:c r="R61" t="str">
        <x:f>A61</x:f>
        <x:v>2026-10</x:v>
      </x:c>
      <x:c r="S61" s="48" t="n">
        <x:f>L61</x:f>
        <x:v>51.10698115985838</x:v>
      </x:c>
    </x:row>
    <x:row r="62">
      <x:c r="A62" s="71" t="str">
        <x:v>2026-11</x:v>
      </x:c>
      <x:c r="B62" s="72" t="n">
        <x:f>'Financial_Statements'!AJ7</x:f>
        <x:v>4047463</x:v>
      </x:c>
      <x:c r="C62" s="72" t="n">
        <x:f>'Financial_Statements'!AJ19</x:f>
        <x:v>737464</x:v>
      </x:c>
      <x:c r="D62" s="72" t="n">
        <x:f>'Financial_Statements'!AJ30</x:f>
        <x:v>363181</x:v>
      </x:c>
      <x:c r="E62" s="72" t="n">
        <x:f>'Cash_Flow_Model'!AJ16</x:f>
        <x:v>185054</x:v>
      </x:c>
      <x:c r="F62" s="72" t="n">
        <x:f>'Cash_Flow_Model'!AJ37</x:f>
        <x:v>68641</x:v>
      </x:c>
      <x:c r="G62" s="72" t="n">
        <x:f>'Financial_Statements'!AJ33</x:f>
        <x:v>8376274</x:v>
      </x:c>
      <x:c r="H62" s="72" t="n">
        <x:f>SUM('Financial_Statements'!AJ45,'Financial_Statements'!AJ46,'Financial_Statements'!AJ48,'Financial_Statements'!AJ49)</x:f>
        <x:v>5850000</x:v>
      </x:c>
      <x:c r="I62" s="73" t="n">
        <x:f>IFERROR('Financial_Statements'!AJ34/'Financial_Statements'!AJ7*30,0)</x:f>
        <x:v>52.59697741523517</x:v>
      </x:c>
      <x:c r="J62" s="73" t="n">
        <x:f>IFERROR('Financial_Statements'!AJ35/ABS('Financial_Statements'!AJ11)*30,0)</x:f>
        <x:v>49.60819144699567</x:v>
      </x:c>
      <x:c r="K62" s="73" t="n">
        <x:f>IFERROR('Financial_Statements'!AJ42/ABS('Financial_Statements'!AJ11)*30,0)</x:f>
        <x:v>51.843603211553756</x:v>
      </x:c>
      <x:c r="L62" s="73" t="n">
        <x:f>I62+J62-K62</x:f>
        <x:v>50.36156565067708</x:v>
      </x:c>
      <x:c r="N62" t="str">
        <x:f>A62</x:f>
        <x:v>2026-11</x:v>
      </x:c>
      <x:c r="O62" s="28" t="n">
        <x:f>G62</x:f>
        <x:v>8376274</x:v>
      </x:c>
      <x:c r="P62" s="28" t="n">
        <x:f>H62</x:f>
        <x:v>5850000</x:v>
      </x:c>
      <x:c r="R62" t="str">
        <x:f>A62</x:f>
        <x:v>2026-11</x:v>
      </x:c>
      <x:c r="S62" s="48" t="n">
        <x:f>L62</x:f>
        <x:v>50.36156565067708</x:v>
      </x:c>
    </x:row>
    <x:row r="63">
      <x:c r="A63" s="71" t="str">
        <x:v>2026-12</x:v>
      </x:c>
      <x:c r="B63" s="72" t="n">
        <x:f>'Financial_Statements'!AK7</x:f>
        <x:v>4358178</x:v>
      </x:c>
      <x:c r="C63" s="72" t="n">
        <x:f>'Financial_Statements'!AK19</x:f>
        <x:v>795637</x:v>
      </x:c>
      <x:c r="D63" s="72" t="n">
        <x:f>'Financial_Statements'!AK30</x:f>
        <x:v>404691</x:v>
      </x:c>
      <x:c r="E63" s="72" t="n">
        <x:f>'Cash_Flow_Model'!AK16</x:f>
        <x:v>488669</x:v>
      </x:c>
      <x:c r="F63" s="72" t="n">
        <x:f>'Cash_Flow_Model'!AK37</x:f>
        <x:v>368248</x:v>
      </x:c>
      <x:c r="G63" s="72" t="n">
        <x:f>'Financial_Statements'!AK33</x:f>
        <x:v>8049522</x:v>
      </x:c>
      <x:c r="H63" s="72" t="n">
        <x:f>SUM('Financial_Statements'!AK45,'Financial_Statements'!AK46,'Financial_Statements'!AK48,'Financial_Statements'!AK49)</x:f>
        <x:v>5450000</x:v>
      </x:c>
      <x:c r="I63" s="73" t="n">
        <x:f>IFERROR('Financial_Statements'!AK34/'Financial_Statements'!AK7*31,0)</x:f>
        <x:v>52.2494471313471</x:v>
      </x:c>
      <x:c r="J63" s="73" t="n">
        <x:f>IFERROR('Financial_Statements'!AK35/ABS('Financial_Statements'!AK11)*31,0)</x:f>
        <x:v>49.26170748544038</x:v>
      </x:c>
      <x:c r="K63" s="73" t="n">
        <x:f>IFERROR('Financial_Statements'!AK42/ABS('Financial_Statements'!AK11)*31,0)</x:f>
        <x:v>52.13033397178498</x:v>
      </x:c>
      <x:c r="L63" s="73" t="n">
        <x:f>I63+J63-K63</x:f>
        <x:v>49.3808206450025</x:v>
      </x:c>
      <x:c r="N63" t="str">
        <x:f>A63</x:f>
        <x:v>2026-12</x:v>
      </x:c>
      <x:c r="O63" s="28" t="n">
        <x:f>G63</x:f>
        <x:v>8049522</x:v>
      </x:c>
      <x:c r="P63" s="28" t="n">
        <x:f>H63</x:f>
        <x:v>5450000</x:v>
      </x:c>
      <x:c r="R63" t="str">
        <x:f>A63</x:f>
        <x:v>2026-12</x:v>
      </x:c>
      <x:c r="S63" s="48" t="n">
        <x:f>L63</x:f>
        <x:v>49.3808206450025</x:v>
      </x:c>
    </x:row>
  </x:sheetData>
  <x:mergeCells>
    <x:mergeCell ref="A1:V1"/>
    <x:mergeCell ref="A2:V2"/>
    <x:mergeCell ref="A25:L25"/>
  </x:mergeCells>
  <x:pageMargins left="0.7" right="0.7" top="0.75" bottom="0.75" header="0.3" footer="0.3"/>
  <x:drawing xmlns:r="http://schemas.openxmlformats.org/officeDocument/2006/relationships" r:id="R5654a8f432e942d8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1" hidden="0" customWidth="1"/>
    <x:col min="3" max="3" width="95" hidden="0" customWidth="1"/>
    <x:col min="4" max="4" width="32" hidden="0" customWidth="1"/>
    <x:col min="5" max="5" width="43" hidden="0" customWidth="1"/>
    <x:col min="6" max="6" width="28" hidden="0" customWidth="1"/>
    <x:col min="7" max="7" width="17" hidden="0" customWidth="1"/>
    <x:col min="8" max="8" width="25" hidden="0" customWidth="1"/>
  </x:cols>
  <x:sheetData>
    <x:row r="1" ht="34" customHeight="1">
      <x:c r="A1" s="130" t="str">
        <x:v>Insights, decisiones y recomendaciones</x:v>
      </x:c>
      <x:c r="B1" s="130" t="str">
        <x:v>Insights, decisiones y recomendaciones</x:v>
      </x:c>
      <x:c r="C1" s="130" t="str">
        <x:v>Insights, decisiones y recomendaciones</x:v>
      </x:c>
      <x:c r="D1" s="130" t="str">
        <x:v>Insights, decisiones y recomendaciones</x:v>
      </x:c>
      <x:c r="E1" s="130" t="str">
        <x:v>Insights, decisiones y recomendaciones</x:v>
      </x:c>
      <x:c r="F1" s="130" t="str">
        <x:v>Insights, decisiones y recomendaciones</x:v>
      </x:c>
      <x:c r="G1" s="130" t="str">
        <x:v>Insights, decisiones y recomendaciones</x:v>
      </x:c>
      <x:c r="H1" s="130" t="str">
        <x:v>Insights, decisiones y recomendaciones</x:v>
      </x:c>
    </x:row>
    <x:row r="2" ht="28" customHeight="1">
      <x:c r="A2" s="133" t="str">
        <x:v>Lectura ejecutiva orientada a dirección. Las conclusiones se limitan al escenario simulado y a los datos disponibles.</x:v>
      </x:c>
      <x:c r="B2" s="133" t="str">
        <x:v>Lectura ejecutiva orientada a dirección. Las conclusiones se limitan al escenario simulado y a los datos disponibles.</x:v>
      </x:c>
      <x:c r="C2" s="133" t="str">
        <x:v>Lectura ejecutiva orientada a dirección. Las conclusiones se limitan al escenario simulado y a los datos disponibles.</x:v>
      </x:c>
      <x:c r="D2" s="133" t="str">
        <x:v>Lectura ejecutiva orientada a dirección. Las conclusiones se limitan al escenario simulado y a los datos disponibles.</x:v>
      </x:c>
      <x:c r="E2" s="133" t="str">
        <x:v>Lectura ejecutiva orientada a dirección. Las conclusiones se limitan al escenario simulado y a los datos disponibles.</x:v>
      </x:c>
      <x:c r="F2" s="133" t="str">
        <x:v>Lectura ejecutiva orientada a dirección. Las conclusiones se limitan al escenario simulado y a los datos disponibles.</x:v>
      </x:c>
      <x:c r="G2" s="133" t="str">
        <x:v>Lectura ejecutiva orientada a dirección. Las conclusiones se limitan al escenario simulado y a los datos disponibles.</x:v>
      </x:c>
      <x:c r="H2" s="133" t="str">
        <x:v>Lectura ejecutiva orientada a dirección. Las conclusiones se limitan al escenario simulado y a los datos disponibles.</x:v>
      </x:c>
    </x:row>
    <x:row r="4" ht="26" customHeight="1">
      <x:c r="A4" s="147" t="str">
        <x:v>Conclusión ejecutiva</x:v>
      </x:c>
      <x:c r="B4" s="147" t="str">
        <x:v>Conclusión ejecutiva</x:v>
      </x:c>
      <x:c r="C4" s="147" t="str">
        <x:v>Conclusión ejecutiva</x:v>
      </x:c>
      <x:c r="D4" s="147" t="str">
        <x:v>Conclusión ejecutiva</x:v>
      </x:c>
      <x:c r="E4" s="147" t="str">
        <x:v>Conclusión ejecutiva</x:v>
      </x:c>
      <x:c r="F4" s="147" t="str">
        <x:v>Conclusión ejecutiva</x:v>
      </x:c>
      <x:c r="G4" s="147" t="str">
        <x:v>Conclusión ejecutiva</x:v>
      </x:c>
      <x:c r="H4" s="147" t="str">
        <x:v>Conclusión ejecutiva</x:v>
      </x:c>
    </x:row>
    <x:row r="5">
      <x:c r="A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B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C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D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E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F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G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H5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</x:row>
    <x:row r="6">
      <x:c r="A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B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C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D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E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F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G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H6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</x:row>
    <x:row r="7">
      <x:c r="A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B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C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D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E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F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G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  <x:c r="H7" s="152" t="str">
        <x:v>El escenario muestra una empresa rentable que atraviesa una tensión temporal de caja en 2025 por capital circulante, no por falta de EBITDA. La recuperación operativa y de circulante en 2026 eleva el CFO a 6,17 M€ y el FCF a 4,03 M€, con 8,05 M€ de efectivo al cierre. La prioridad de gestión no sería aumentar ventas sin más, sino proteger la conversión de beneficio en caja mediante cobros, inventario, pagos y un forecast de tesorería de corto plazo.</x:v>
      </x:c>
    </x:row>
    <x:row r="9" ht="28" customHeight="1">
      <x:c r="A9" s="137" t="str">
        <x:v>#</x:v>
      </x:c>
      <x:c r="B9" s="137" t="str">
        <x:v>Insight</x:v>
      </x:c>
      <x:c r="C9" s="137" t="str">
        <x:v>Evidencia cuantificada</x:v>
      </x:c>
      <x:c r="D9" s="137" t="str">
        <x:v>Interpretación</x:v>
      </x:c>
      <x:c r="E9" s="137" t="str">
        <x:v>Decisión que debe apoyar</x:v>
      </x:c>
      <x:c r="F9" s="137" t="str">
        <x:v>Recomendación</x:v>
      </x:c>
    </x:row>
    <x:row r="10" ht="102" customHeight="1">
      <x:c r="A10" s="157" t="str">
        <x:v>01</x:v>
      </x:c>
      <x:c r="B10" s="153" t="str">
        <x:v>El beneficio no garantiza la caja</x:v>
      </x:c>
      <x:c r="C10" s="153" t="str">
        <x:v>Entre abril y agosto de 2025 se generaron 2,42 M€ de EBITDA y 0,97 M€ de resultado neto, pero el CFO acumulado fue -0,19 M€ y el FCF -0,82 M€. En total hubo 9 meses con CFO negativo pese a mantener EBITDA positivo.</x:v>
      </x:c>
      <x:c r="D10" s="153" t="str">
        <x:v>La actividad siguió siendo rentable, pero parte del beneficio quedó inmovilizada en clientes e inventario. El EBITDA aislado habría ofrecido una lectura incompleta.</x:v>
      </x:c>
      <x:c r="E10" s="153" t="str">
        <x:v>Priorizar acciones sobre conversión de caja antes de financiar el crecimiento con nueva deuda.</x:v>
      </x:c>
      <x:c r="F10" s="153" t="str">
        <x:v>Añadir CFO/EBITDA y CFO/resultado neto al cuadro ejecutivo y exigir explicación cuando la conversión se deteriore.</x:v>
      </x:c>
    </x:row>
    <x:row r="11" ht="102" customHeight="1">
      <x:c r="A11" s="157" t="str">
        <x:v>02</x:v>
      </x:c>
      <x:c r="B11" s="153" t="str">
        <x:v>El capital circulante explica la tensión de 2025</x:v>
      </x:c>
      <x:c r="C11" s="153" t="str">
        <x:v>El capital circulante absorbió 2,11 M€ entre abril y agosto. El CCC alcanzó un máximo de 84,7 días en 2025-08; el efecto de clientes fue -0,92 M€ y el de inventario -0,56 M€.</x:v>
      </x:c>
      <x:c r="D11" s="153" t="str">
        <x:v>La combinación de cobros más lentos, más inventario y menor financiación espontánea de proveedores alargó el ciclo de caja.</x:v>
      </x:c>
      <x:c r="E11" s="153" t="str">
        <x:v>Lanzar un plan conjunto de cobros, inventario y condiciones de pago, con responsables y objetivos mensuales.</x:v>
      </x:c>
      <x:c r="F11" s="153" t="str">
        <x:v>Fijar referencias operativas: DSO ≤ 58 días, DIO ≤ 55 días y DPO ≥ 50 días; investigar desviaciones por cliente, producto y proveedor cuando existan datos de detalle.</x:v>
      </x:c>
    </x:row>
    <x:row r="12" ht="102" customHeight="1">
      <x:c r="A12" s="157" t="str">
        <x:v>03</x:v>
      </x:c>
      <x:c r="B12" s="153" t="str">
        <x:v>La deuda actuó como colchón, no como solución operativa</x:v>
      </x:c>
      <x:c r="C12" s="153" t="str">
        <x:v>En mayo de 2025 se dispusieron 1,10 M€ de deuda: el efectivo pasó de 2,40 M€ en abril a 3,66 M€ en mayo. Durante la tensión, el mínimo fue 2,40 M€ en 2025-04.</x:v>
      </x:c>
      <x:c r="D12" s="153" t="str">
        <x:v>La financiación sostuvo la liquidez durante la tensión, pero no corrigió la causa: el efectivo atrapado en el ciclo operativo.</x:v>
      </x:c>
      <x:c r="E12" s="153" t="str">
        <x:v>Distinguir necesidades temporales de circulante de déficits estructurales antes de aprobar nueva financiación.</x:v>
      </x:c>
      <x:c r="F12" s="153" t="str">
        <x:v>Implantar un forecast de caja de 13 semanas con escenario base, tensión y recuperación; vincular disposiciones de deuda a un plan de liberación de circulante.</x:v>
      </x:c>
    </x:row>
    <x:row r="13" ht="102" customHeight="1">
      <x:c r="A13" s="157" t="str">
        <x:v>04</x:v>
      </x:c>
      <x:c r="B13" s="153" t="str">
        <x:v>La recuperación de 2026 mejora margen y conversión</x:v>
      </x:c>
      <x:c r="C13" s="153" t="str">
        <x:v>En 2026 los ingresos crecieron 11,3%, el margen EBITDA alcanzó 17,8% y el CFO/EBITDA fue 80,8%. El efectivo cerró en 8,05 M€.</x:v>
      </x:c>
      <x:c r="D13" s="153" t="str">
        <x:v>La mejora conjunta de margen y capital circulante convierte crecimiento en caja y reduce la dependencia financiera.</x:v>
      </x:c>
      <x:c r="E13" s="153" t="str">
        <x:v>Consolidar la disciplina operativa y decidir el destino del exceso de liquidez con criterios de rentabilidad y riesgo.</x:v>
      </x:c>
      <x:c r="F13" s="153" t="str">
        <x:v>Mantener seguimiento LTM; con una posición financiera neta positiva de 2,60 M€, evaluar amortización de deuda, inversión o reserva de liquidez sin comprometer el colchón operativo.</x:v>
      </x:c>
    </x:row>
    <x:row r="14" ht="102" customHeight="1">
      <x:c r="A14" s="157" t="str">
        <x:v>05</x:v>
      </x:c>
      <x:c r="B14" s="153" t="str">
        <x:v>El CAPEX puede ser asumible aunque el FCF mensual sea negativo</x:v>
      </x:c>
      <x:c r="C14" s="153" t="str">
        <x:v>En septiembre de 2026 el CAPEX fue 636 k€; el FCF del mes cayó a -1,03 M€, pero el efectivo cerró en 7,88 M€.</x:v>
      </x:c>
      <x:c r="D14" s="153" t="str">
        <x:v>Un FCF negativo aislado no implica deterioro si responde a inversión aprobada, existe liquidez y se controla el retorno.</x:v>
      </x:c>
      <x:c r="E14" s="153" t="str">
        <x:v>Aprobar, escalonar o posponer inversiones según liquidez, prioridad estratégica y retorno esperado.</x:v>
      </x:c>
      <x:c r="F14" s="153" t="str">
        <x:v>Vincular cada CAPEX relevante a business case, payback, responsable y revisión posterior; separar CAPEX de mantenimiento y crecimiento.</x:v>
      </x:c>
    </x:row>
    <x:row r="15" ht="102" customHeight="1">
      <x:c r="A15" s="157" t="str">
        <x:v>06</x:v>
      </x:c>
      <x:c r="B15" s="153" t="str">
        <x:v>La calidad del beneficio y la solvencia son cómodas al cierre</x:v>
      </x:c>
      <x:c r="C15" s="153" t="str">
        <x:v>En 2026 CFO/resultado neto fue 1,73x, current ratio 2,95x, quick ratio 2,23x y cobertura de intereses 11,79x.</x:v>
      </x:c>
      <x:c r="D15" s="153" t="str">
        <x:v>El cierre presenta liquidez y capacidad de pago elevadas en el escenario, aunque la foto de cierre debe contrastarse con la evolución mensual.</x:v>
      </x:c>
      <x:c r="E15" s="153" t="str">
        <x:v>Definir un nivel mínimo de caja y una política de asignación del excedente.</x:v>
      </x:c>
      <x:c r="F15" s="153" t="str">
        <x:v>No optimizar ratios de forma aislada: mantener el forecast, revisar covenants y comparar la rentabilidad de amortizar deuda frente a reinvertir.</x:v>
      </x:c>
    </x:row>
    <x:row r="18" ht="26" customHeight="1">
      <x:c r="A18" s="147" t="str">
        <x:v>Matriz de decisión y seguimiento</x:v>
      </x:c>
      <x:c r="B18" s="147" t="str">
        <x:v>Matriz de decisión y seguimiento</x:v>
      </x:c>
      <x:c r="C18" s="147" t="str">
        <x:v>Matriz de decisión y seguimiento</x:v>
      </x:c>
      <x:c r="D18" s="147" t="str">
        <x:v>Matriz de decisión y seguimiento</x:v>
      </x:c>
      <x:c r="E18" s="147" t="str">
        <x:v>Matriz de decisión y seguimiento</x:v>
      </x:c>
      <x:c r="F18" s="147" t="str">
        <x:v>Matriz de decisión y seguimiento</x:v>
      </x:c>
      <x:c r="G18" s="147" t="str">
        <x:v>Matriz de decisión y seguimiento</x:v>
      </x:c>
      <x:c r="H18" s="147" t="str">
        <x:v>Matriz de decisión y seguimiento</x:v>
      </x:c>
    </x:row>
    <x:row r="20" ht="28" customHeight="1">
      <x:c r="A20" s="137" t="str">
        <x:v>Prioridad</x:v>
      </x:c>
      <x:c r="B20" s="137" t="str">
        <x:v>Decisión</x:v>
      </x:c>
      <x:c r="C20" s="137" t="str">
        <x:v>Señal</x:v>
      </x:c>
      <x:c r="D20" s="137" t="str">
        <x:v>Umbral orientativo</x:v>
      </x:c>
      <x:c r="E20" s="137" t="str">
        <x:v>Acción</x:v>
      </x:c>
      <x:c r="F20" s="137" t="str">
        <x:v>KPI</x:v>
      </x:c>
      <x:c r="G20" s="137" t="str">
        <x:v>Frecuencia</x:v>
      </x:c>
      <x:c r="H20" s="137" t="str">
        <x:v>Responsable sugerido</x:v>
      </x:c>
    </x:row>
    <x:row r="21" ht="66" customHeight="1">
      <x:c r="A21" s="153" t="str">
        <x:v>P1</x:v>
      </x:c>
      <x:c r="B21" s="153" t="str">
        <x:v>Acelerar cobros</x:v>
      </x:c>
      <x:c r="C21" s="153" t="str">
        <x:v>DSO deteriorándose</x:v>
      </x:c>
      <x:c r="D21" s="153" t="str">
        <x:v>&gt; 60 días o +5 días frente a objetivo</x:v>
      </x:c>
      <x:c r="E21" s="153" t="str">
        <x:v>Revisar aging, disputas y top clientes</x:v>
      </x:c>
      <x:c r="F21" s="153" t="str">
        <x:v>DSO · overdue · cobros</x:v>
      </x:c>
      <x:c r="G21" s="153" t="str">
        <x:v>Semanal</x:v>
      </x:c>
      <x:c r="H21" s="153" t="str">
        <x:v>Finance + Comercial</x:v>
      </x:c>
    </x:row>
    <x:row r="22" ht="66" customHeight="1">
      <x:c r="A22" s="153" t="str">
        <x:v>P1</x:v>
      </x:c>
      <x:c r="B22" s="153" t="str">
        <x:v>Reducir inventario inmovilizado</x:v>
      </x:c>
      <x:c r="C22" s="153" t="str">
        <x:v>DIO al alza</x:v>
      </x:c>
      <x:c r="D22" s="153" t="str">
        <x:v>&gt; 55 días</x:v>
      </x:c>
      <x:c r="E22" s="153" t="str">
        <x:v>Revisar cobertura, lento movimiento y compras</x:v>
      </x:c>
      <x:c r="F22" s="153" t="str">
        <x:v>DIO · aging · rotación</x:v>
      </x:c>
      <x:c r="G22" s="153" t="str">
        <x:v>Quincenal</x:v>
      </x:c>
      <x:c r="H22" s="153" t="str">
        <x:v>Operaciones + Compras</x:v>
      </x:c>
    </x:row>
    <x:row r="23" ht="66" customHeight="1">
      <x:c r="A23" s="153" t="str">
        <x:v>P1</x:v>
      </x:c>
      <x:c r="B23" s="153" t="str">
        <x:v>Proteger liquidez</x:v>
      </x:c>
      <x:c r="C23" s="153" t="str">
        <x:v>FCF negativo o caída de caja</x:v>
      </x:c>
      <x:c r="D23" s="153" t="str">
        <x:v>2 meses consecutivos o caja bajo mínimo</x:v>
      </x:c>
      <x:c r="E23" s="153" t="str">
        <x:v>Activar forecast de 13 semanas y escenarios</x:v>
      </x:c>
      <x:c r="F23" s="153" t="str">
        <x:v>CFO · FCF · efectivo</x:v>
      </x:c>
      <x:c r="G23" s="153" t="str">
        <x:v>Semanal</x:v>
      </x:c>
      <x:c r="H23" s="153" t="str">
        <x:v>Tesorería + FP&amp;A</x:v>
      </x:c>
    </x:row>
    <x:row r="24" ht="66" customHeight="1">
      <x:c r="A24" s="153" t="str">
        <x:v>P2</x:v>
      </x:c>
      <x:c r="B24" s="153" t="str">
        <x:v>Gestionar pagos</x:v>
      </x:c>
      <x:c r="C24" s="153" t="str">
        <x:v>DPO por debajo del objetivo</x:v>
      </x:c>
      <x:c r="D24" s="153" t="str">
        <x:v>&lt; 50 días</x:v>
      </x:c>
      <x:c r="E24" s="153" t="str">
        <x:v>Negociar condiciones sin deteriorar proveedores</x:v>
      </x:c>
      <x:c r="F24" s="153" t="str">
        <x:v>DPO · vencimientos</x:v>
      </x:c>
      <x:c r="G24" s="153" t="str">
        <x:v>Mensual</x:v>
      </x:c>
      <x:c r="H24" s="153" t="str">
        <x:v>Compras + Tesorería</x:v>
      </x:c>
    </x:row>
    <x:row r="25" ht="66" customHeight="1">
      <x:c r="A25" s="153" t="str">
        <x:v>P2</x:v>
      </x:c>
      <x:c r="B25" s="153" t="str">
        <x:v>Aprobar CAPEX</x:v>
      </x:c>
      <x:c r="C25" s="153" t="str">
        <x:v>Inversión relevante</x:v>
      </x:c>
      <x:c r="D25" s="153" t="str">
        <x:v>&gt; 500 k€ o CAPEX/ingresos &gt; 5%</x:v>
      </x:c>
      <x:c r="E25" s="153" t="str">
        <x:v>Business case, payback y revisión posterior</x:v>
      </x:c>
      <x:c r="F25" s="153" t="str">
        <x:v>CAPEX · FCF · ROI</x:v>
      </x:c>
      <x:c r="G25" s="153" t="str">
        <x:v>Por inversión</x:v>
      </x:c>
      <x:c r="H25" s="153" t="str">
        <x:v>Dirección + Finanzas</x:v>
      </x:c>
    </x:row>
    <x:row r="26" ht="66" customHeight="1">
      <x:c r="A26" s="153" t="str">
        <x:v>P2</x:v>
      </x:c>
      <x:c r="B26" s="153" t="str">
        <x:v>Asignar exceso de caja</x:v>
      </x:c>
      <x:c r="C26" s="153" t="str">
        <x:v>Posición financiera neta positiva</x:v>
      </x:c>
      <x:c r="D26" s="153" t="str">
        <x:v>&gt; 2 M€ tras colchón mínimo</x:v>
      </x:c>
      <x:c r="E26" s="153" t="str">
        <x:v>Comparar amortización, inversión y reserva</x:v>
      </x:c>
      <x:c r="F26" s="153" t="str">
        <x:v>Caja neta · intereses · ROIC</x:v>
      </x:c>
      <x:c r="G26" s="153" t="str">
        <x:v>Trimestral</x:v>
      </x:c>
      <x:c r="H26" s="153" t="str">
        <x:v>CFO / Dirección</x:v>
      </x:c>
    </x:row>
    <x:row r="29" ht="26" customHeight="1">
      <x:c r="A29" s="147" t="str">
        <x:v>Límites de las conclusiones</x:v>
      </x:c>
      <x:c r="B29" s="147" t="str">
        <x:v>Límites de las conclusiones</x:v>
      </x:c>
      <x:c r="C29" s="147" t="str">
        <x:v>Límites de las conclusiones</x:v>
      </x:c>
      <x:c r="D29" s="147" t="str">
        <x:v>Límites de las conclusiones</x:v>
      </x:c>
      <x:c r="E29" s="147" t="str">
        <x:v>Límites de las conclusiones</x:v>
      </x:c>
      <x:c r="F29" s="147" t="str">
        <x:v>Límites de las conclusiones</x:v>
      </x:c>
      <x:c r="G29" s="147" t="str">
        <x:v>Límites de las conclusiones</x:v>
      </x:c>
      <x:c r="H29" s="147" t="str">
        <x:v>Límites de las conclusiones</x:v>
      </x:c>
    </x:row>
    <x:row r="31" ht="52" customHeight="1">
      <x:c r="A31" s="158" t="str">
        <x:v>01</x:v>
      </x:c>
      <x:c r="B31" s="153" t="str">
        <x:v>Datos consolidados</x:v>
      </x:c>
      <x:c r="C31" s="153" t="str">
        <x:v>No existen clientes, productos, proveedores o unidades de negocio; se identifican drivers financieros, no responsables operativos concretos.</x:v>
      </x:c>
    </x:row>
    <x:row r="32" ht="52" customHeight="1">
      <x:c r="A32" s="158" t="str">
        <x:v>02</x:v>
      </x:c>
      <x:c r="B32" s="153" t="str">
        <x:v>Escenario simulado</x:v>
      </x:c>
      <x:c r="C32" s="153" t="str">
        <x:v>Los resultados sirven para demostrar metodología y razonamiento, no para afirmar experiencia real ni resultados obtenidos en una empresa.</x:v>
      </x:c>
    </x:row>
    <x:row r="33" ht="52" customHeight="1">
      <x:c r="A33" s="158" t="str">
        <x:v>03</x:v>
      </x:c>
      <x:c r="B33" s="153" t="str">
        <x:v>Cash flow histórico</x:v>
      </x:c>
      <x:c r="C33" s="153" t="str">
        <x:v>El modelo reconstruye caja histórica; todavía no incluye forecast de tesorería ni escenarios prospectivos.</x:v>
      </x:c>
    </x:row>
    <x:row r="34" ht="52" customHeight="1">
      <x:c r="A34" s="158" t="str">
        <x:v>04</x:v>
      </x:c>
      <x:c r="B34" s="153" t="str">
        <x:v>Ratios de circulante</x:v>
      </x:c>
      <x:c r="C34" s="153" t="str">
        <x:v>DSO, DIO y DPO se aproximan con saldos mensuales y flujos agregados; una empresa real requeriría detalle de vencimientos y aging.</x:v>
      </x:c>
    </x:row>
    <x:row r="35" ht="52" customHeight="1">
      <x:c r="A35" s="158" t="str">
        <x:v>05</x:v>
      </x:c>
      <x:c r="B35" s="153" t="str">
        <x:v>Decisiones condicionadas</x:v>
      </x:c>
      <x:c r="C35" s="153" t="str">
        <x:v>Los umbrales son orientativos y deberían calibrarse con sector, covenants, estacionalidad y política financiera.</x:v>
      </x:c>
    </x:row>
  </x:sheetData>
  <x:mergeCells>
    <x:mergeCell ref="A1:H1"/>
    <x:mergeCell ref="A2:H2"/>
    <x:mergeCell ref="A4:H4"/>
    <x:mergeCell ref="A5:H7"/>
    <x:mergeCell ref="A18:H18"/>
    <x:mergeCell ref="A29:H29"/>
  </x:mergeCells>
  <x:conditionalFormatting sqref="A21:A26">
    <x:cfRule type="expression" dxfId="2" priority="1">
      <x:formula>A21="P1"</x:formula>
    </x:cfRule>
    <x:cfRule type="expression" dxfId="3" priority="2">
      <x:formula>A21="P2"</x:formula>
    </x:cfRule>
    <x:cfRule type="expression" dxfId="4" priority="3">
      <x:formula>A21="P1"</x:formula>
    </x:cfRule>
    <x:cfRule type="expression" dxfId="5" priority="4">
      <x:formula>A21="P2"</x:formula>
    </x:cfRule>
    <x:cfRule type="expression" dxfId="6" priority="5">
      <x:formula>A21="P1"</x:formula>
    </x:cfRule>
    <x:cfRule type="expression" dxfId="7" priority="6">
      <x:formula>A21="P2"</x:formula>
    </x:cfRule>
  </x:conditionalFormatting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9" hidden="0" customWidth="1"/>
    <x:col min="3" max="3" width="42" hidden="0" customWidth="1"/>
    <x:col min="4" max="4" width="38" hidden="0" customWidth="1"/>
    <x:col min="5" max="5" width="34" hidden="0" customWidth="1"/>
    <x:col min="6" max="6" width="43" hidden="0" customWidth="1"/>
    <x:col min="7" max="7" width="16" hidden="0" customWidth="1"/>
    <x:col min="8" max="8" width="16" hidden="0" customWidth="1"/>
  </x:cols>
  <x:sheetData>
    <x:row r="1" ht="34" customHeight="1">
      <x:c r="A1" s="130" t="str">
        <x:v>Guion del proyecto para el portfolio</x:v>
      </x:c>
      <x:c r="B1" s="130" t="str">
        <x:v>Guion del proyecto para el portfolio</x:v>
      </x:c>
      <x:c r="C1" s="130" t="str">
        <x:v>Guion del proyecto para el portfolio</x:v>
      </x:c>
      <x:c r="D1" s="130" t="str">
        <x:v>Guion del proyecto para el portfolio</x:v>
      </x:c>
      <x:c r="E1" s="130" t="str">
        <x:v>Guion del proyecto para el portfolio</x:v>
      </x:c>
      <x:c r="F1" s="130" t="str">
        <x:v>Guion del proyecto para el portfolio</x:v>
      </x:c>
      <x:c r="G1" s="130" t="str">
        <x:v>Guion del proyecto para el portfolio</x:v>
      </x:c>
      <x:c r="H1" s="130" t="str">
        <x:v>Guion del proyecto para el portfolio</x:v>
      </x:c>
    </x:row>
    <x:row r="2" ht="28" customHeight="1">
      <x:c r="A2" s="133" t="str">
        <x:v>Base narrativa aprobable antes de construir el HTML. El caso debe demostrar análisis financiero, modelado, trazabilidad y capacidad de decisión.</x:v>
      </x:c>
      <x:c r="B2" s="133" t="str">
        <x:v>Base narrativa aprobable antes de construir el HTML. El caso debe demostrar análisis financiero, modelado, trazabilidad y capacidad de decisión.</x:v>
      </x:c>
      <x:c r="C2" s="133" t="str">
        <x:v>Base narrativa aprobable antes de construir el HTML. El caso debe demostrar análisis financiero, modelado, trazabilidad y capacidad de decisión.</x:v>
      </x:c>
      <x:c r="D2" s="133" t="str">
        <x:v>Base narrativa aprobable antes de construir el HTML. El caso debe demostrar análisis financiero, modelado, trazabilidad y capacidad de decisión.</x:v>
      </x:c>
      <x:c r="E2" s="133" t="str">
        <x:v>Base narrativa aprobable antes de construir el HTML. El caso debe demostrar análisis financiero, modelado, trazabilidad y capacidad de decisión.</x:v>
      </x:c>
      <x:c r="F2" s="133" t="str">
        <x:v>Base narrativa aprobable antes de construir el HTML. El caso debe demostrar análisis financiero, modelado, trazabilidad y capacidad de decisión.</x:v>
      </x:c>
      <x:c r="G2" s="133" t="str">
        <x:v>Base narrativa aprobable antes de construir el HTML. El caso debe demostrar análisis financiero, modelado, trazabilidad y capacidad de decisión.</x:v>
      </x:c>
      <x:c r="H2" s="133" t="str">
        <x:v>Base narrativa aprobable antes de construir el HTML. El caso debe demostrar análisis financiero, modelado, trazabilidad y capacidad de decisión.</x:v>
      </x:c>
    </x:row>
    <x:row r="4" ht="26" customHeight="1">
      <x:c r="A4" s="147" t="str">
        <x:v>Identidad del caso</x:v>
      </x:c>
      <x:c r="B4" s="147" t="str">
        <x:v>Identidad del caso</x:v>
      </x:c>
      <x:c r="C4" s="147" t="str">
        <x:v>Identidad del caso</x:v>
      </x:c>
      <x:c r="D4" s="147" t="str">
        <x:v>Identidad del caso</x:v>
      </x:c>
      <x:c r="E4" s="147" t="str">
        <x:v>Identidad del caso</x:v>
      </x:c>
      <x:c r="F4" s="147" t="str">
        <x:v>Identidad del caso</x:v>
      </x:c>
      <x:c r="G4" s="147" t="str">
        <x:v>Identidad del caso</x:v>
      </x:c>
      <x:c r="H4" s="147" t="str">
        <x:v>Identidad del caso</x:v>
      </x:c>
    </x:row>
    <x:row r="5" ht="32" customHeight="1">
      <x:c r="A5" s="141" t="str">
        <x:v>Título recomendado</x:v>
      </x:c>
      <x:c r="B5" s="161" t="str">
        <x:v>Generación de caja y salud financiera</x:v>
      </x:c>
      <x:c r="C5" s="161" t="str">
        <x:v>Generación de caja y salud financiera</x:v>
      </x:c>
      <x:c r="D5" s="161" t="str">
        <x:v>Generación de caja y salud financiera</x:v>
      </x:c>
      <x:c r="E5" s="161" t="str">
        <x:v>Generación de caja y salud financiera</x:v>
      </x:c>
      <x:c r="F5" s="161" t="str">
        <x:v>Generación de caja y salud financiera</x:v>
      </x:c>
      <x:c r="G5" s="161" t="str">
        <x:v>Generación de caja y salud financiera</x:v>
      </x:c>
      <x:c r="H5" s="161" t="str">
        <x:v>Generación de caja y salud financiera</x:v>
      </x:c>
    </x:row>
    <x:row r="6" ht="32" customHeight="1">
      <x:c r="A6" s="141" t="str">
        <x:v>Título técnico</x:v>
      </x:c>
      <x:c r="B6" s="161" t="str">
        <x:v>Cash Flow &amp; Financial Health Analysis</x:v>
      </x:c>
      <x:c r="C6" s="161" t="str">
        <x:v>Cash Flow &amp; Financial Health Analysis</x:v>
      </x:c>
      <x:c r="D6" s="161" t="str">
        <x:v>Cash Flow &amp; Financial Health Analysis</x:v>
      </x:c>
      <x:c r="E6" s="161" t="str">
        <x:v>Cash Flow &amp; Financial Health Analysis</x:v>
      </x:c>
      <x:c r="F6" s="161" t="str">
        <x:v>Cash Flow &amp; Financial Health Analysis</x:v>
      </x:c>
      <x:c r="G6" s="161" t="str">
        <x:v>Cash Flow &amp; Financial Health Analysis</x:v>
      </x:c>
      <x:c r="H6" s="161" t="str">
        <x:v>Cash Flow &amp; Financial Health Analysis</x:v>
      </x:c>
    </x:row>
    <x:row r="7" ht="32" customHeight="1">
      <x:c r="A7" s="141" t="str">
        <x:v>Etiqueta</x:v>
      </x:c>
      <x:c r="B7" s="161" t="str">
        <x:v>FINANCE ANALYTICS · DATOS SIMULADOS</x:v>
      </x:c>
      <x:c r="C7" s="161" t="str">
        <x:v>FINANCE ANALYTICS · DATOS SIMULADOS</x:v>
      </x:c>
      <x:c r="D7" s="161" t="str">
        <x:v>FINANCE ANALYTICS · DATOS SIMULADOS</x:v>
      </x:c>
      <x:c r="E7" s="161" t="str">
        <x:v>FINANCE ANALYTICS · DATOS SIMULADOS</x:v>
      </x:c>
      <x:c r="F7" s="161" t="str">
        <x:v>FINANCE ANALYTICS · DATOS SIMULADOS</x:v>
      </x:c>
      <x:c r="G7" s="161" t="str">
        <x:v>FINANCE ANALYTICS · DATOS SIMULADOS</x:v>
      </x:c>
      <x:c r="H7" s="161" t="str">
        <x:v>FINANCE ANALYTICS · DATOS SIMULADOS</x:v>
      </x:c>
    </x:row>
    <x:row r="8" ht="48" customHeight="1">
      <x:c r="A8" s="141" t="str">
        <x:v>Hook</x:v>
      </x:c>
      <x:c r="B8" s="161" t="str">
        <x:v>Una empresa puede ser rentable y, aun así, sufrir tensión de caja.</x:v>
      </x:c>
      <x:c r="C8" s="161" t="str">
        <x:v>Una empresa puede ser rentable y, aun así, sufrir tensión de caja.</x:v>
      </x:c>
      <x:c r="D8" s="161" t="str">
        <x:v>Una empresa puede ser rentable y, aun así, sufrir tensión de caja.</x:v>
      </x:c>
      <x:c r="E8" s="161" t="str">
        <x:v>Una empresa puede ser rentable y, aun así, sufrir tensión de caja.</x:v>
      </x:c>
      <x:c r="F8" s="161" t="str">
        <x:v>Una empresa puede ser rentable y, aun así, sufrir tensión de caja.</x:v>
      </x:c>
      <x:c r="G8" s="161" t="str">
        <x:v>Una empresa puede ser rentable y, aun así, sufrir tensión de caja.</x:v>
      </x:c>
      <x:c r="H8" s="161" t="str">
        <x:v>Una empresa puede ser rentable y, aun así, sufrir tensión de caja.</x:v>
      </x:c>
    </x:row>
    <x:row r="9" ht="48" customHeight="1">
      <x:c r="A9" s="141" t="str">
        <x:v>Pregunta central</x:v>
      </x:c>
      <x:c r="B9" s="161" t="str">
        <x:v>¿El crecimiento y el beneficio se están convirtiendo en efectivo suficiente para operar, invertir y atender la deuda?</x:v>
      </x:c>
      <x:c r="C9" s="161" t="str">
        <x:v>¿El crecimiento y el beneficio se están convirtiendo en efectivo suficiente para operar, invertir y atender la deuda?</x:v>
      </x:c>
      <x:c r="D9" s="161" t="str">
        <x:v>¿El crecimiento y el beneficio se están convirtiendo en efectivo suficiente para operar, invertir y atender la deuda?</x:v>
      </x:c>
      <x:c r="E9" s="161" t="str">
        <x:v>¿El crecimiento y el beneficio se están convirtiendo en efectivo suficiente para operar, invertir y atender la deuda?</x:v>
      </x:c>
      <x:c r="F9" s="161" t="str">
        <x:v>¿El crecimiento y el beneficio se están convirtiendo en efectivo suficiente para operar, invertir y atender la deuda?</x:v>
      </x:c>
      <x:c r="G9" s="161" t="str">
        <x:v>¿El crecimiento y el beneficio se están convirtiendo en efectivo suficiente para operar, invertir y atender la deuda?</x:v>
      </x:c>
      <x:c r="H9" s="161" t="str">
        <x:v>¿El crecimiento y el beneficio se están convirtiendo en efectivo suficiente para operar, invertir y atender la deuda?</x:v>
      </x:c>
    </x:row>
    <x:row r="10" ht="32" customHeight="1">
      <x:c r="A10" s="141" t="str">
        <x:v>Audiencia</x:v>
      </x:c>
      <x:c r="B10" s="161" t="str">
        <x:v>Dirección financiera, FP&amp;A, controlling y responsables de negocio</x:v>
      </x:c>
      <x:c r="C10" s="161" t="str">
        <x:v>Dirección financiera, FP&amp;A, controlling y responsables de negocio</x:v>
      </x:c>
      <x:c r="D10" s="161" t="str">
        <x:v>Dirección financiera, FP&amp;A, controlling y responsables de negocio</x:v>
      </x:c>
      <x:c r="E10" s="161" t="str">
        <x:v>Dirección financiera, FP&amp;A, controlling y responsables de negocio</x:v>
      </x:c>
      <x:c r="F10" s="161" t="str">
        <x:v>Dirección financiera, FP&amp;A, controlling y responsables de negocio</x:v>
      </x:c>
      <x:c r="G10" s="161" t="str">
        <x:v>Dirección financiera, FP&amp;A, controlling y responsables de negocio</x:v>
      </x:c>
      <x:c r="H10" s="161" t="str">
        <x:v>Dirección financiera, FP&amp;A, controlling y responsables de negocio</x:v>
      </x:c>
    </x:row>
    <x:row r="11" ht="32" customHeight="1">
      <x:c r="A11" s="141" t="str">
        <x:v>Resultado del caso</x:v>
      </x:c>
      <x:c r="B11" s="161" t="str">
        <x:v>Diagnóstico de conversión de caja, circulante, liquidez, endeudamiento y prioridades de gestión</x:v>
      </x:c>
      <x:c r="C11" s="161" t="str">
        <x:v>Diagnóstico de conversión de caja, circulante, liquidez, endeudamiento y prioridades de gestión</x:v>
      </x:c>
      <x:c r="D11" s="161" t="str">
        <x:v>Diagnóstico de conversión de caja, circulante, liquidez, endeudamiento y prioridades de gestión</x:v>
      </x:c>
      <x:c r="E11" s="161" t="str">
        <x:v>Diagnóstico de conversión de caja, circulante, liquidez, endeudamiento y prioridades de gestión</x:v>
      </x:c>
      <x:c r="F11" s="161" t="str">
        <x:v>Diagnóstico de conversión de caja, circulante, liquidez, endeudamiento y prioridades de gestión</x:v>
      </x:c>
      <x:c r="G11" s="161" t="str">
        <x:v>Diagnóstico de conversión de caja, circulante, liquidez, endeudamiento y prioridades de gestión</x:v>
      </x:c>
      <x:c r="H11" s="161" t="str">
        <x:v>Diagnóstico de conversión de caja, circulante, liquidez, endeudamiento y prioridades de gestión</x:v>
      </x:c>
    </x:row>
    <x:row r="13" ht="26" customHeight="1">
      <x:c r="A13" s="147" t="str">
        <x:v>Qué debe demostrar a un reclutador</x:v>
      </x:c>
      <x:c r="B13" s="147" t="str">
        <x:v>Qué debe demostrar a un reclutador</x:v>
      </x:c>
      <x:c r="C13" s="147" t="str">
        <x:v>Qué debe demostrar a un reclutador</x:v>
      </x:c>
      <x:c r="D13" s="147" t="str">
        <x:v>Qué debe demostrar a un reclutador</x:v>
      </x:c>
      <x:c r="E13" s="147" t="str">
        <x:v>Qué debe demostrar a un reclutador</x:v>
      </x:c>
      <x:c r="F13" s="147" t="str">
        <x:v>Qué debe demostrar a un reclutador</x:v>
      </x:c>
      <x:c r="G13" s="147" t="str">
        <x:v>Qué debe demostrar a un reclutador</x:v>
      </x:c>
      <x:c r="H13" s="147" t="str">
        <x:v>Qué debe demostrar a un reclutador</x:v>
      </x:c>
    </x:row>
    <x:row r="15" ht="52" customHeight="1">
      <x:c r="A15" s="158" t="str">
        <x:v>01</x:v>
      </x:c>
      <x:c r="B15" s="153" t="str">
        <x:v>Modelo financiero</x:v>
      </x:c>
      <x:c r="C15" s="153" t="str">
        <x:v>Reconstruir el cash flow indirecto desde P&amp;L, balance y movimientos auxiliares.</x:v>
      </x:c>
      <x:c r="D15" s="153" t="str">
        <x:v>Reconstruir el cash flow indirecto desde P&amp;L, balance y movimientos auxiliares.</x:v>
      </x:c>
      <x:c r="E15" s="153" t="str">
        <x:v>Reconstruir el cash flow indirecto desde P&amp;L, balance y movimientos auxiliares.</x:v>
      </x:c>
      <x:c r="F15" s="153" t="str">
        <x:v>Reconstruir el cash flow indirecto desde P&amp;L, balance y movimientos auxiliares.</x:v>
      </x:c>
      <x:c r="G15" s="153" t="str">
        <x:v>Reconstruir el cash flow indirecto desde P&amp;L, balance y movimientos auxiliares.</x:v>
      </x:c>
      <x:c r="H15" s="153" t="str">
        <x:v>Reconstruir el cash flow indirecto desde P&amp;L, balance y movimientos auxiliares.</x:v>
      </x:c>
    </x:row>
    <x:row r="16" ht="52" customHeight="1">
      <x:c r="A16" s="158" t="str">
        <x:v>02</x:v>
      </x:c>
      <x:c r="B16" s="153" t="str">
        <x:v>Calidad y trazabilidad</x:v>
      </x:c>
      <x:c r="C16" s="153" t="str">
        <x:v>Conciliar balance, efectivo, deuda, arrendamientos y patrimonio sin ajustes manuales.</x:v>
      </x:c>
      <x:c r="D16" s="153" t="str">
        <x:v>Conciliar balance, efectivo, deuda, arrendamientos y patrimonio sin ajustes manuales.</x:v>
      </x:c>
      <x:c r="E16" s="153" t="str">
        <x:v>Conciliar balance, efectivo, deuda, arrendamientos y patrimonio sin ajustes manuales.</x:v>
      </x:c>
      <x:c r="F16" s="153" t="str">
        <x:v>Conciliar balance, efectivo, deuda, arrendamientos y patrimonio sin ajustes manuales.</x:v>
      </x:c>
      <x:c r="G16" s="153" t="str">
        <x:v>Conciliar balance, efectivo, deuda, arrendamientos y patrimonio sin ajustes manuales.</x:v>
      </x:c>
      <x:c r="H16" s="153" t="str">
        <x:v>Conciliar balance, efectivo, deuda, arrendamientos y patrimonio sin ajustes manuales.</x:v>
      </x:c>
    </x:row>
    <x:row r="17" ht="52" customHeight="1">
      <x:c r="A17" s="158" t="str">
        <x:v>03</x:v>
      </x:c>
      <x:c r="B17" s="153" t="str">
        <x:v>KPIs</x:v>
      </x:c>
      <x:c r="C17" s="153" t="str">
        <x:v>Definir métricas con fórmula, frecuencia, unidad, criterio de lectura y limitaciones.</x:v>
      </x:c>
      <x:c r="D17" s="153" t="str">
        <x:v>Definir métricas con fórmula, frecuencia, unidad, criterio de lectura y limitaciones.</x:v>
      </x:c>
      <x:c r="E17" s="153" t="str">
        <x:v>Definir métricas con fórmula, frecuencia, unidad, criterio de lectura y limitaciones.</x:v>
      </x:c>
      <x:c r="F17" s="153" t="str">
        <x:v>Definir métricas con fórmula, frecuencia, unidad, criterio de lectura y limitaciones.</x:v>
      </x:c>
      <x:c r="G17" s="153" t="str">
        <x:v>Definir métricas con fórmula, frecuencia, unidad, criterio de lectura y limitaciones.</x:v>
      </x:c>
      <x:c r="H17" s="153" t="str">
        <x:v>Definir métricas con fórmula, frecuencia, unidad, criterio de lectura y limitaciones.</x:v>
      </x:c>
    </x:row>
    <x:row r="18" ht="52" customHeight="1">
      <x:c r="A18" s="158" t="str">
        <x:v>04</x:v>
      </x:c>
      <x:c r="B18" s="153" t="str">
        <x:v>Análisis</x:v>
      </x:c>
      <x:c r="C18" s="153" t="str">
        <x:v>Distinguir rentabilidad, caja, capital circulante, liquidez, solvencia e inversión.</x:v>
      </x:c>
      <x:c r="D18" s="153" t="str">
        <x:v>Distinguir rentabilidad, caja, capital circulante, liquidez, solvencia e inversión.</x:v>
      </x:c>
      <x:c r="E18" s="153" t="str">
        <x:v>Distinguir rentabilidad, caja, capital circulante, liquidez, solvencia e inversión.</x:v>
      </x:c>
      <x:c r="F18" s="153" t="str">
        <x:v>Distinguir rentabilidad, caja, capital circulante, liquidez, solvencia e inversión.</x:v>
      </x:c>
      <x:c r="G18" s="153" t="str">
        <x:v>Distinguir rentabilidad, caja, capital circulante, liquidez, solvencia e inversión.</x:v>
      </x:c>
      <x:c r="H18" s="153" t="str">
        <x:v>Distinguir rentabilidad, caja, capital circulante, liquidez, solvencia e inversión.</x:v>
      </x:c>
    </x:row>
    <x:row r="19" ht="52" customHeight="1">
      <x:c r="A19" s="158" t="str">
        <x:v>05</x:v>
      </x:c>
      <x:c r="B19" s="153" t="str">
        <x:v>Storytelling</x:v>
      </x:c>
      <x:c r="C19" s="153" t="str">
        <x:v>Pasar de los datos a una explicación causal, una decisión y una recomendación concreta.</x:v>
      </x:c>
      <x:c r="D19" s="153" t="str">
        <x:v>Pasar de los datos a una explicación causal, una decisión y una recomendación concreta.</x:v>
      </x:c>
      <x:c r="E19" s="153" t="str">
        <x:v>Pasar de los datos a una explicación causal, una decisión y una recomendación concreta.</x:v>
      </x:c>
      <x:c r="F19" s="153" t="str">
        <x:v>Pasar de los datos a una explicación causal, una decisión y una recomendación concreta.</x:v>
      </x:c>
      <x:c r="G19" s="153" t="str">
        <x:v>Pasar de los datos a una explicación causal, una decisión y una recomendación concreta.</x:v>
      </x:c>
      <x:c r="H19" s="153" t="str">
        <x:v>Pasar de los datos a una explicación causal, una decisión y una recomendación concreta.</x:v>
      </x:c>
    </x:row>
    <x:row r="20" ht="52" customHeight="1">
      <x:c r="A20" s="158" t="str">
        <x:v>06</x:v>
      </x:c>
      <x:c r="B20" s="153" t="str">
        <x:v>Perfil híbrido</x:v>
      </x:c>
      <x:c r="C20" s="153" t="str">
        <x:v>Conectar Finance Analytics, reporting, Power Query/modelado y futura visualización Power BI sin afirmar que existe un archivo .pbix.</x:v>
      </x:c>
      <x:c r="D20" s="153" t="str">
        <x:v>Conectar Finance Analytics, reporting, Power Query/modelado y futura visualización Power BI sin afirmar que existe un archivo .pbix.</x:v>
      </x:c>
      <x:c r="E20" s="153" t="str">
        <x:v>Conectar Finance Analytics, reporting, Power Query/modelado y futura visualización Power BI sin afirmar que existe un archivo .pbix.</x:v>
      </x:c>
      <x:c r="F20" s="153" t="str">
        <x:v>Conectar Finance Analytics, reporting, Power Query/modelado y futura visualización Power BI sin afirmar que existe un archivo .pbix.</x:v>
      </x:c>
      <x:c r="G20" s="153" t="str">
        <x:v>Conectar Finance Analytics, reporting, Power Query/modelado y futura visualización Power BI sin afirmar que existe un archivo .pbix.</x:v>
      </x:c>
      <x:c r="H20" s="153" t="str">
        <x:v>Conectar Finance Analytics, reporting, Power Query/modelado y futura visualización Power BI sin afirmar que existe un archivo .pbix.</x:v>
      </x:c>
    </x:row>
    <x:row r="22" ht="26" customHeight="1">
      <x:c r="A22" s="147" t="str">
        <x:v>Estructura recomendada del futuro caso HTML</x:v>
      </x:c>
      <x:c r="B22" s="147" t="str">
        <x:v>Estructura recomendada del futuro caso HTML</x:v>
      </x:c>
      <x:c r="C22" s="147" t="str">
        <x:v>Estructura recomendada del futuro caso HTML</x:v>
      </x:c>
      <x:c r="D22" s="147" t="str">
        <x:v>Estructura recomendada del futuro caso HTML</x:v>
      </x:c>
      <x:c r="E22" s="147" t="str">
        <x:v>Estructura recomendada del futuro caso HTML</x:v>
      </x:c>
      <x:c r="F22" s="147" t="str">
        <x:v>Estructura recomendada del futuro caso HTML</x:v>
      </x:c>
      <x:c r="G22" s="147" t="str">
        <x:v>Estructura recomendada del futuro caso HTML</x:v>
      </x:c>
      <x:c r="H22" s="147" t="str">
        <x:v>Estructura recomendada del futuro caso HTML</x:v>
      </x:c>
    </x:row>
    <x:row r="24" ht="28" customHeight="1">
      <x:c r="A24" s="137" t="str">
        <x:v>Orden</x:v>
      </x:c>
      <x:c r="B24" s="137" t="str">
        <x:v>Bloque</x:v>
      </x:c>
      <x:c r="C24" s="137" t="str">
        <x:v>Objetivo</x:v>
      </x:c>
      <x:c r="D24" s="137" t="str">
        <x:v>Visual principal</x:v>
      </x:c>
      <x:c r="E24" s="137" t="str">
        <x:v>KPIs</x:v>
      </x:c>
      <x:c r="F24" s="137" t="str">
        <x:v>Mensaje</x:v>
      </x:c>
    </x:row>
    <x:row r="25" ht="68" customHeight="1">
      <x:c r="A25" s="158" t="str">
        <x:v>01</x:v>
      </x:c>
      <x:c r="B25" s="153" t="str">
        <x:v>Contexto y reto</x:v>
      </x:c>
      <x:c r="C25" s="153" t="str">
        <x:v>Explicar por qué beneficio y caja no son equivalentes</x:v>
      </x:c>
      <x:c r="D25" s="153" t="str">
        <x:v>Resumen del problema + modelo de datos</x:v>
      </x:c>
      <x:c r="E25" s="153" t="str">
        <x:v>Ingresos · EBITDA · CFO · FCF</x:v>
      </x:c>
      <x:c r="F25" s="153" t="str">
        <x:v>La conversión de caja es la pregunta central</x:v>
      </x:c>
    </x:row>
    <x:row r="26" ht="68" customHeight="1">
      <x:c r="A26" s="158" t="str">
        <x:v>02</x:v>
      </x:c>
      <x:c r="B26" s="153" t="str">
        <x:v>Visión ejecutiva</x:v>
      </x:c>
      <x:c r="C26" s="153" t="str">
        <x:v>Dar una lectura de 10 segundos</x:v>
      </x:c>
      <x:c r="D26" s="153" t="str">
        <x:v>Tarjetas KPI + tendencia de efectivo</x:v>
      </x:c>
      <x:c r="E26" s="153" t="str">
        <x:v>CFO · FCF · caja · conversión · CCC · deuda neta</x:v>
      </x:c>
      <x:c r="F26" s="153" t="str">
        <x:v>2025 tensiona la caja; 2026 recupera</x:v>
      </x:c>
    </x:row>
    <x:row r="27" ht="68" customHeight="1">
      <x:c r="A27" s="158" t="str">
        <x:v>03</x:v>
      </x:c>
      <x:c r="B27" s="153" t="str">
        <x:v>Del beneficio a la caja</x:v>
      </x:c>
      <x:c r="C27" s="153" t="str">
        <x:v>Explicar la conciliación</x:v>
      </x:c>
      <x:c r="D27" s="153" t="str">
        <x:v>Waterfall: resultado neto → CFO</x:v>
      </x:c>
      <x:c r="E27" s="153" t="str">
        <x:v>Resultado · D&amp;A · circulante · CFO</x:v>
      </x:c>
      <x:c r="F27" s="153" t="str">
        <x:v>El circulante, no la rentabilidad, explica la tensión</x:v>
      </x:c>
    </x:row>
    <x:row r="28" ht="68" customHeight="1">
      <x:c r="A28" s="158" t="str">
        <x:v>04</x:v>
      </x:c>
      <x:c r="B28" s="153" t="str">
        <x:v>Capital circulante</x:v>
      </x:c>
      <x:c r="C28" s="153" t="str">
        <x:v>Identificar qué inmoviliza caja</x:v>
      </x:c>
      <x:c r="D28" s="153" t="str">
        <x:v>Líneas DSO/DIO/DPO + CCC</x:v>
      </x:c>
      <x:c r="E28" s="153" t="str">
        <x:v>DSO · DIO · DPO · CCC</x:v>
      </x:c>
      <x:c r="F28" s="153" t="str">
        <x:v>Cobros e inventario requieren actuación prioritaria</x:v>
      </x:c>
    </x:row>
    <x:row r="29" ht="68" customHeight="1">
      <x:c r="A29" s="158" t="str">
        <x:v>05</x:v>
      </x:c>
      <x:c r="B29" s="153" t="str">
        <x:v>Liquidez y financiación</x:v>
      </x:c>
      <x:c r="C29" s="153" t="str">
        <x:v>Evaluar capacidad de pago</x:v>
      </x:c>
      <x:c r="D29" s="153" t="str">
        <x:v>Efectivo frente a deuda + ratios</x:v>
      </x:c>
      <x:c r="E29" s="153" t="str">
        <x:v>Current · quick · cobertura · posición neta</x:v>
      </x:c>
      <x:c r="F29" s="153" t="str">
        <x:v>La deuda fue colchón temporal</x:v>
      </x:c>
    </x:row>
    <x:row r="30" ht="68" customHeight="1">
      <x:c r="A30" s="158" t="str">
        <x:v>06</x:v>
      </x:c>
      <x:c r="B30" s="153" t="str">
        <x:v>Inversión y FCF</x:v>
      </x:c>
      <x:c r="C30" s="153" t="str">
        <x:v>Separar deterioro de inversión deliberada</x:v>
      </x:c>
      <x:c r="D30" s="153" t="str">
        <x:v>CAPEX y FCF mensual</x:v>
      </x:c>
      <x:c r="E30" s="153" t="str">
        <x:v>CAPEX/ventas · FCF · efectivo</x:v>
      </x:c>
      <x:c r="F30" s="153" t="str">
        <x:v>El CAPEX puntual es asumible con liquidez</x:v>
      </x:c>
    </x:row>
    <x:row r="31" ht="68" customHeight="1">
      <x:c r="A31" s="158" t="str">
        <x:v>07</x:v>
      </x:c>
      <x:c r="B31" s="153" t="str">
        <x:v>Decisiones</x:v>
      </x:c>
      <x:c r="C31" s="153" t="str">
        <x:v>Cerrar el análisis con acciones</x:v>
      </x:c>
      <x:c r="D31" s="153" t="str">
        <x:v>Matriz impacto/prioridad</x:v>
      </x:c>
      <x:c r="E31" s="153" t="str">
        <x:v>Umbrales y responsables</x:v>
      </x:c>
      <x:c r="F31" s="153" t="str">
        <x:v>El dashboard debe ayudar a decidir, no solo informar</x:v>
      </x:c>
    </x:row>
    <x:row r="32" ht="68" customHeight="1">
      <x:c r="A32" s="158" t="str">
        <x:v>08</x:v>
      </x:c>
      <x:c r="B32" s="153" t="str">
        <x:v>Metodología y límites</x:v>
      </x:c>
      <x:c r="C32" s="153" t="str">
        <x:v>Aportar credibilidad</x:v>
      </x:c>
      <x:c r="D32" s="153" t="str">
        <x:v>Modelo, reglas y checks</x:v>
      </x:c>
      <x:c r="E32" s="153" t="str">
        <x:v>36/36 checks OK</x:v>
      </x:c>
      <x:c r="F32" s="153" t="str">
        <x:v>Proyecto demostrativo y conclusiones condicionadas</x:v>
      </x:c>
    </x:row>
    <x:row r="35" ht="26" customHeight="1">
      <x:c r="A35" s="147" t="str">
        <x:v>KPIs que sí deben aparecer en la portada del caso</x:v>
      </x:c>
      <x:c r="B35" s="147" t="str">
        <x:v>KPIs que sí deben aparecer en la portada del caso</x:v>
      </x:c>
      <x:c r="C35" s="147" t="str">
        <x:v>KPIs que sí deben aparecer en la portada del caso</x:v>
      </x:c>
      <x:c r="D35" s="147" t="str">
        <x:v>KPIs que sí deben aparecer en la portada del caso</x:v>
      </x:c>
      <x:c r="E35" s="147" t="str">
        <x:v>KPIs que sí deben aparecer en la portada del caso</x:v>
      </x:c>
      <x:c r="F35" s="147" t="str">
        <x:v>KPIs que sí deben aparecer en la portada del caso</x:v>
      </x:c>
      <x:c r="G35" s="147" t="str">
        <x:v>KPIs que sí deben aparecer en la portada del caso</x:v>
      </x:c>
      <x:c r="H35" s="147" t="str">
        <x:v>KPIs que sí deben aparecer en la portada del caso</x:v>
      </x:c>
    </x:row>
    <x:row r="37" ht="28" customHeight="1">
      <x:c r="A37" s="137" t="str">
        <x:v>Principal</x:v>
      </x:c>
      <x:c r="B37" s="137" t="str">
        <x:v>Por qué</x:v>
      </x:c>
      <x:c r="C37" s="137" t="str">
        <x:v>Secundario</x:v>
      </x:c>
      <x:c r="D37" s="137" t="str">
        <x:v>Dónde mostrarlo</x:v>
      </x:c>
    </x:row>
    <x:row r="38">
      <x:c r="A38" s="141" t="str">
        <x:v>CFO</x:v>
      </x:c>
      <x:c r="B38" s="140" t="str">
        <x:v>Caja generada por la operación</x:v>
      </x:c>
      <x:c r="C38" s="140" t="str">
        <x:v>Resultado neto</x:v>
      </x:c>
      <x:c r="D38" s="140" t="str">
        <x:v>Bridge de caja</x:v>
      </x:c>
    </x:row>
    <x:row r="39">
      <x:c r="A39" s="141" t="str">
        <x:v>Free Cash Flow</x:v>
      </x:c>
      <x:c r="B39" s="140" t="str">
        <x:v>Caja tras inversión</x:v>
      </x:c>
      <x:c r="C39" s="140" t="str">
        <x:v>CAPEX / ingresos</x:v>
      </x:c>
      <x:c r="D39" s="140" t="str">
        <x:v>Bloque de inversión</x:v>
      </x:c>
    </x:row>
    <x:row r="40">
      <x:c r="A40" s="141" t="str">
        <x:v>CFO / EBITDA</x:v>
      </x:c>
      <x:c r="B40" s="140" t="str">
        <x:v>Conversión de resultado en caja</x:v>
      </x:c>
      <x:c r="C40" s="140" t="str">
        <x:v>CFO / resultado neto</x:v>
      </x:c>
      <x:c r="D40" s="140" t="str">
        <x:v>Visión ejecutiva</x:v>
      </x:c>
    </x:row>
    <x:row r="41">
      <x:c r="A41" s="141" t="str">
        <x:v>Efectivo</x:v>
      </x:c>
      <x:c r="B41" s="140" t="str">
        <x:v>Liquidez disponible</x:v>
      </x:c>
      <x:c r="C41" s="140" t="str">
        <x:v>Current y quick ratio</x:v>
      </x:c>
      <x:c r="D41" s="140" t="str">
        <x:v>Liquidez</x:v>
      </x:c>
    </x:row>
    <x:row r="42">
      <x:c r="A42" s="141" t="str">
        <x:v>Cash Conversion Cycle</x:v>
      </x:c>
      <x:c r="B42" s="140" t="str">
        <x:v>Tiempo de caja inmovilizada</x:v>
      </x:c>
      <x:c r="C42" s="140" t="str">
        <x:v>DSO, DIO y DPO</x:v>
      </x:c>
      <x:c r="D42" s="140" t="str">
        <x:v>Capital circulante</x:v>
      </x:c>
    </x:row>
    <x:row r="43">
      <x:c r="A43" s="141" t="str">
        <x:v>Posición financiera neta</x:v>
      </x:c>
      <x:c r="B43" s="140" t="str">
        <x:v>Caja frente a deuda</x:v>
      </x:c>
      <x:c r="C43" s="140" t="str">
        <x:v>Cobertura de intereses</x:v>
      </x:c>
      <x:c r="D43" s="140" t="str">
        <x:v>Financiación</x:v>
      </x:c>
    </x:row>
    <x:row r="46" ht="26" customHeight="1">
      <x:c r="A46" s="147" t="str">
        <x:v>Mensaje final recomendado</x:v>
      </x:c>
      <x:c r="B46" s="147" t="str">
        <x:v>Mensaje final recomendado</x:v>
      </x:c>
      <x:c r="C46" s="147" t="str">
        <x:v>Mensaje final recomendado</x:v>
      </x:c>
      <x:c r="D46" s="147" t="str">
        <x:v>Mensaje final recomendado</x:v>
      </x:c>
      <x:c r="E46" s="147" t="str">
        <x:v>Mensaje final recomendado</x:v>
      </x:c>
      <x:c r="F46" s="147" t="str">
        <x:v>Mensaje final recomendado</x:v>
      </x:c>
      <x:c r="G46" s="147" t="str">
        <x:v>Mensaje final recomendado</x:v>
      </x:c>
      <x:c r="H46" s="147" t="str">
        <x:v>Mensaje final recomendado</x:v>
      </x:c>
    </x:row>
    <x:row r="48">
      <x:c r="A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B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C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D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E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F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G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H48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</x:row>
    <x:row r="49">
      <x:c r="A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B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C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D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E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F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G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H49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</x:row>
    <x:row r="50">
      <x:c r="A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B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C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D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E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F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G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H50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</x:row>
    <x:row r="51">
      <x:c r="A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B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C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D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E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F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G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  <x:c r="H51" s="165" t="str">
        <x:v>Este caso demuestra que el análisis financiero no termina en el P&amp;L. Al reconciliar balance, resultado y movimientos de tesorería, es posible explicar por qué una empresa rentable puede sufrir tensión de caja, identificar los drivers del capital circulante y convertir el diagnóstico en decisiones sobre cobros, inventario, deuda e inversión. Todos los datos son simulados y el valor del proyecto está en la metodología, la trazabilidad y el razonamiento aplicado.</x:v>
      </x:c>
    </x:row>
  </x:sheetData>
  <x:mergeCells>
    <x:mergeCell ref="A1:H1"/>
    <x:mergeCell ref="A2:H2"/>
    <x:mergeCell ref="A4:H4"/>
    <x:mergeCell ref="A13:H13"/>
    <x:mergeCell ref="A22:H22"/>
    <x:mergeCell ref="A35:H35"/>
    <x:mergeCell ref="A46:H46"/>
    <x:mergeCell ref="A48:H51"/>
    <x:mergeCell ref="B5:H5"/>
    <x:mergeCell ref="B6:H6"/>
    <x:mergeCell ref="B7:H7"/>
    <x:mergeCell ref="B8:H8"/>
    <x:mergeCell ref="B9:H9"/>
    <x:mergeCell ref="B10:H10"/>
    <x:mergeCell ref="B11:H11"/>
    <x:mergeCell ref="C15:H15"/>
    <x:mergeCell ref="C16:H16"/>
    <x:mergeCell ref="C17:H17"/>
    <x:mergeCell ref="C18:H18"/>
    <x:mergeCell ref="C19:H19"/>
    <x:mergeCell ref="C20:H20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1" hidden="0" customWidth="1"/>
    <x:col min="3" max="3" width="34" hidden="0" customWidth="1"/>
    <x:col min="4" max="4" width="26" hidden="0" customWidth="1"/>
    <x:col min="5" max="5" width="39" hidden="0" customWidth="1"/>
    <x:col min="6" max="6" width="43" hidden="0" customWidth="1"/>
    <x:col min="7" max="7" width="41" hidden="0" customWidth="1"/>
    <x:col min="8" max="8" width="43" hidden="0" customWidth="1"/>
    <x:col min="9" max="9" width="22" hidden="0" customWidth="1"/>
    <x:col min="10" max="10" width="22" hidden="0" customWidth="1"/>
    <x:col min="11" max="11" width="12" hidden="0" customWidth="1"/>
    <x:col min="12" max="12" width="28" hidden="0" customWidth="1"/>
  </x:cols>
  <x:sheetData>
    <x:row r="1" ht="34" customHeight="1">
      <x:c r="A1" s="256" t="str">
        <x:v>Definición de dashboards · Caso 04</x:v>
      </x:c>
      <x:c r="B1" s="256" t="str">
        <x:v>Definición de dashboards · Caso 04</x:v>
      </x:c>
      <x:c r="C1" s="256" t="str">
        <x:v>Definición de dashboards · Caso 04</x:v>
      </x:c>
      <x:c r="D1" s="256" t="str">
        <x:v>Definición de dashboards · Caso 04</x:v>
      </x:c>
      <x:c r="E1" s="256" t="str">
        <x:v>Definición de dashboards · Caso 04</x:v>
      </x:c>
      <x:c r="F1" s="256" t="str">
        <x:v>Definición de dashboards · Caso 04</x:v>
      </x:c>
      <x:c r="G1" s="256" t="str">
        <x:v>Definición de dashboards · Caso 04</x:v>
      </x:c>
      <x:c r="H1" s="256" t="str">
        <x:v>Definición de dashboards · Caso 04</x:v>
      </x:c>
      <x:c r="I1" s="256" t="str">
        <x:v>Definición de dashboards · Caso 04</x:v>
      </x:c>
      <x:c r="J1" s="256" t="str">
        <x:v>Definición de dashboards · Caso 04</x:v>
      </x:c>
      <x:c r="K1" s="256" t="str">
        <x:v>Definición de dashboards · Caso 04</x:v>
      </x:c>
      <x:c r="L1" s="256" t="str">
        <x:v>Definición de dashboards · Caso 04</x:v>
      </x:c>
    </x:row>
    <x:row r="2" ht="30" customHeight="1">
      <x:c r="A2" s="260" t="str">
        <x:v>GENERACIÓN DE CAJA Y SALUD FINANCIERA · FINANCE ANALYTICS · DATOS SIMULADOS · Documento previo al HTML; no representa un informe Power BI ya construido.</x:v>
      </x:c>
      <x:c r="B2" s="260" t="str">
        <x:v>GENERACIÓN DE CAJA Y SALUD FINANCIERA · FINANCE ANALYTICS · DATOS SIMULADOS · Documento previo al HTML; no representa un informe Power BI ya construido.</x:v>
      </x:c>
      <x:c r="C2" s="260" t="str">
        <x:v>GENERACIÓN DE CAJA Y SALUD FINANCIERA · FINANCE ANALYTICS · DATOS SIMULADOS · Documento previo al HTML; no representa un informe Power BI ya construido.</x:v>
      </x:c>
      <x:c r="D2" s="260" t="str">
        <x:v>GENERACIÓN DE CAJA Y SALUD FINANCIERA · FINANCE ANALYTICS · DATOS SIMULADOS · Documento previo al HTML; no representa un informe Power BI ya construido.</x:v>
      </x:c>
      <x:c r="E2" s="260" t="str">
        <x:v>GENERACIÓN DE CAJA Y SALUD FINANCIERA · FINANCE ANALYTICS · DATOS SIMULADOS · Documento previo al HTML; no representa un informe Power BI ya construido.</x:v>
      </x:c>
      <x:c r="F2" s="260" t="str">
        <x:v>GENERACIÓN DE CAJA Y SALUD FINANCIERA · FINANCE ANALYTICS · DATOS SIMULADOS · Documento previo al HTML; no representa un informe Power BI ya construido.</x:v>
      </x:c>
      <x:c r="G2" s="260" t="str">
        <x:v>GENERACIÓN DE CAJA Y SALUD FINANCIERA · FINANCE ANALYTICS · DATOS SIMULADOS · Documento previo al HTML; no representa un informe Power BI ya construido.</x:v>
      </x:c>
      <x:c r="H2" s="260" t="str">
        <x:v>GENERACIÓN DE CAJA Y SALUD FINANCIERA · FINANCE ANALYTICS · DATOS SIMULADOS · Documento previo al HTML; no representa un informe Power BI ya construido.</x:v>
      </x:c>
      <x:c r="I2" s="260" t="str">
        <x:v>GENERACIÓN DE CAJA Y SALUD FINANCIERA · FINANCE ANALYTICS · DATOS SIMULADOS · Documento previo al HTML; no representa un informe Power BI ya construido.</x:v>
      </x:c>
      <x:c r="J2" s="260" t="str">
        <x:v>GENERACIÓN DE CAJA Y SALUD FINANCIERA · FINANCE ANALYTICS · DATOS SIMULADOS · Documento previo al HTML; no representa un informe Power BI ya construido.</x:v>
      </x:c>
      <x:c r="K2" s="260" t="str">
        <x:v>GENERACIÓN DE CAJA Y SALUD FINANCIERA · FINANCE ANALYTICS · DATOS SIMULADOS · Documento previo al HTML; no representa un informe Power BI ya construido.</x:v>
      </x:c>
      <x:c r="L2" s="260" t="str">
        <x:v>GENERACIÓN DE CAJA Y SALUD FINANCIERA · FINANCE ANALYTICS · DATOS SIMULADOS · Documento previo al HTML; no representa un informe Power BI ya construido.</x:v>
      </x:c>
    </x:row>
    <x:row r="4" ht="26" customHeight="1">
      <x:c r="A4" s="262" t="str">
        <x:v>Decisión de arquitectura</x:v>
      </x:c>
      <x:c r="B4" s="262" t="str">
        <x:v>Decisión de arquitectura</x:v>
      </x:c>
      <x:c r="C4" s="262" t="str">
        <x:v>Decisión de arquitectura</x:v>
      </x:c>
      <x:c r="D4" s="262" t="str">
        <x:v>Decisión de arquitectura</x:v>
      </x:c>
      <x:c r="E4" s="262" t="str">
        <x:v>Decisión de arquitectura</x:v>
      </x:c>
      <x:c r="F4" s="262" t="str">
        <x:v>Decisión de arquitectura</x:v>
      </x:c>
      <x:c r="G4" s="262" t="str">
        <x:v>Decisión de arquitectura</x:v>
      </x:c>
      <x:c r="H4" s="262" t="str">
        <x:v>Decisión de arquitectura</x:v>
      </x:c>
      <x:c r="I4" s="262" t="str">
        <x:v>Decisión de arquitectura</x:v>
      </x:c>
      <x:c r="J4" s="262" t="str">
        <x:v>Decisión de arquitectura</x:v>
      </x:c>
      <x:c r="K4" s="262" t="str">
        <x:v>Decisión de arquitectura</x:v>
      </x:c>
      <x:c r="L4" s="262" t="str">
        <x:v>Decisión de arquitectura</x:v>
      </x:c>
    </x:row>
    <x:row r="6" ht="38" customHeight="1">
      <x:c r="A6" s="267" t="str">
        <x:v>Estructura</x:v>
      </x:c>
      <x:c r="B6" s="267" t="str">
        <x:v>Estructura</x:v>
      </x:c>
      <x:c r="C6" s="270" t="str">
        <x:v>Un solo caso con tres vistas coordinadas; no son tres proyectos distintos.</x:v>
      </x:c>
      <x:c r="D6" s="270" t="str">
        <x:v>Un solo caso con tres vistas coordinadas; no son tres proyectos distintos.</x:v>
      </x:c>
      <x:c r="E6" s="270" t="str">
        <x:v>Un solo caso con tres vistas coordinadas; no son tres proyectos distintos.</x:v>
      </x:c>
      <x:c r="F6" s="270" t="str">
        <x:v>Un solo caso con tres vistas coordinadas; no son tres proyectos distintos.</x:v>
      </x:c>
      <x:c r="G6" s="270" t="str">
        <x:v>Un solo caso con tres vistas coordinadas; no son tres proyectos distintos.</x:v>
      </x:c>
      <x:c r="H6" s="270" t="str">
        <x:v>Un solo caso con tres vistas coordinadas; no son tres proyectos distintos.</x:v>
      </x:c>
      <x:c r="I6" s="270" t="str">
        <x:v>Un solo caso con tres vistas coordinadas; no son tres proyectos distintos.</x:v>
      </x:c>
      <x:c r="J6" s="270" t="str">
        <x:v>Un solo caso con tres vistas coordinadas; no son tres proyectos distintos.</x:v>
      </x:c>
      <x:c r="K6" s="270" t="str">
        <x:v>Un solo caso con tres vistas coordinadas; no son tres proyectos distintos.</x:v>
      </x:c>
      <x:c r="L6" s="270" t="str">
        <x:v>Un solo caso con tres vistas coordinadas; no son tres proyectos distintos.</x:v>
      </x:c>
    </x:row>
    <x:row r="7" ht="38" customHeight="1">
      <x:c r="A7" s="267" t="str">
        <x:v>Audiencia</x:v>
      </x:c>
      <x:c r="B7" s="267" t="str">
        <x:v>Audiencia</x:v>
      </x:c>
      <x:c r="C7" s="270" t="str">
        <x:v>Dirección financiera, FP&amp;A, controlling, responsables de negocio y selección de perfiles Data Analyst × Finance Analytics.</x:v>
      </x:c>
      <x:c r="D7" s="270" t="str">
        <x:v>Dirección financiera, FP&amp;A, controlling, responsables de negocio y selección de perfiles Data Analyst × Finance Analytics.</x:v>
      </x:c>
      <x:c r="E7" s="270" t="str">
        <x:v>Dirección financiera, FP&amp;A, controlling, responsables de negocio y selección de perfiles Data Analyst × Finance Analytics.</x:v>
      </x:c>
      <x:c r="F7" s="270" t="str">
        <x:v>Dirección financiera, FP&amp;A, controlling, responsables de negocio y selección de perfiles Data Analyst × Finance Analytics.</x:v>
      </x:c>
      <x:c r="G7" s="270" t="str">
        <x:v>Dirección financiera, FP&amp;A, controlling, responsables de negocio y selección de perfiles Data Analyst × Finance Analytics.</x:v>
      </x:c>
      <x:c r="H7" s="270" t="str">
        <x:v>Dirección financiera, FP&amp;A, controlling, responsables de negocio y selección de perfiles Data Analyst × Finance Analytics.</x:v>
      </x:c>
      <x:c r="I7" s="270" t="str">
        <x:v>Dirección financiera, FP&amp;A, controlling, responsables de negocio y selección de perfiles Data Analyst × Finance Analytics.</x:v>
      </x:c>
      <x:c r="J7" s="270" t="str">
        <x:v>Dirección financiera, FP&amp;A, controlling, responsables de negocio y selección de perfiles Data Analyst × Finance Analytics.</x:v>
      </x:c>
      <x:c r="K7" s="270" t="str">
        <x:v>Dirección financiera, FP&amp;A, controlling, responsables de negocio y selección de perfiles Data Analyst × Finance Analytics.</x:v>
      </x:c>
      <x:c r="L7" s="270" t="str">
        <x:v>Dirección financiera, FP&amp;A, controlling, responsables de negocio y selección de perfiles Data Analyst × Finance Analytics.</x:v>
      </x:c>
    </x:row>
    <x:row r="8" ht="38" customHeight="1">
      <x:c r="A8" s="267" t="str">
        <x:v>Pregunta central</x:v>
      </x:c>
      <x:c r="B8" s="267" t="str">
        <x:v>Pregunta central</x:v>
      </x:c>
      <x:c r="C8" s="270" t="str">
        <x:v>¿El crecimiento y el beneficio se están convirtiendo en efectivo suficiente para operar, invertir y atender la deuda?</x:v>
      </x:c>
      <x:c r="D8" s="270" t="str">
        <x:v>¿El crecimiento y el beneficio se están convirtiendo en efectivo suficiente para operar, invertir y atender la deuda?</x:v>
      </x:c>
      <x:c r="E8" s="270" t="str">
        <x:v>¿El crecimiento y el beneficio se están convirtiendo en efectivo suficiente para operar, invertir y atender la deuda?</x:v>
      </x:c>
      <x:c r="F8" s="270" t="str">
        <x:v>¿El crecimiento y el beneficio se están convirtiendo en efectivo suficiente para operar, invertir y atender la deuda?</x:v>
      </x:c>
      <x:c r="G8" s="270" t="str">
        <x:v>¿El crecimiento y el beneficio se están convirtiendo en efectivo suficiente para operar, invertir y atender la deuda?</x:v>
      </x:c>
      <x:c r="H8" s="270" t="str">
        <x:v>¿El crecimiento y el beneficio se están convirtiendo en efectivo suficiente para operar, invertir y atender la deuda?</x:v>
      </x:c>
      <x:c r="I8" s="270" t="str">
        <x:v>¿El crecimiento y el beneficio se están convirtiendo en efectivo suficiente para operar, invertir y atender la deuda?</x:v>
      </x:c>
      <x:c r="J8" s="270" t="str">
        <x:v>¿El crecimiento y el beneficio se están convirtiendo en efectivo suficiente para operar, invertir y atender la deuda?</x:v>
      </x:c>
      <x:c r="K8" s="270" t="str">
        <x:v>¿El crecimiento y el beneficio se están convirtiendo en efectivo suficiente para operar, invertir y atender la deuda?</x:v>
      </x:c>
      <x:c r="L8" s="270" t="str">
        <x:v>¿El crecimiento y el beneficio se están convirtiendo en efectivo suficiente para operar, invertir y atender la deuda?</x:v>
      </x:c>
    </x:row>
    <x:row r="9" ht="38" customHeight="1">
      <x:c r="A9" s="267" t="str">
        <x:v>Lectura</x:v>
      </x:c>
      <x:c r="B9" s="267" t="str">
        <x:v>Lectura</x:v>
      </x:c>
      <x:c r="C9" s="270" t="str">
        <x:v>Primero una síntesis ejecutiva; después el diagnóstico de conversión de caja; finalmente liquidez, deuda e inversión.</x:v>
      </x:c>
      <x:c r="D9" s="270" t="str">
        <x:v>Primero una síntesis ejecutiva; después el diagnóstico de conversión de caja; finalmente liquidez, deuda e inversión.</x:v>
      </x:c>
      <x:c r="E9" s="270" t="str">
        <x:v>Primero una síntesis ejecutiva; después el diagnóstico de conversión de caja; finalmente liquidez, deuda e inversión.</x:v>
      </x:c>
      <x:c r="F9" s="270" t="str">
        <x:v>Primero una síntesis ejecutiva; después el diagnóstico de conversión de caja; finalmente liquidez, deuda e inversión.</x:v>
      </x:c>
      <x:c r="G9" s="270" t="str">
        <x:v>Primero una síntesis ejecutiva; después el diagnóstico de conversión de caja; finalmente liquidez, deuda e inversión.</x:v>
      </x:c>
      <x:c r="H9" s="270" t="str">
        <x:v>Primero una síntesis ejecutiva; después el diagnóstico de conversión de caja; finalmente liquidez, deuda e inversión.</x:v>
      </x:c>
      <x:c r="I9" s="270" t="str">
        <x:v>Primero una síntesis ejecutiva; después el diagnóstico de conversión de caja; finalmente liquidez, deuda e inversión.</x:v>
      </x:c>
      <x:c r="J9" s="270" t="str">
        <x:v>Primero una síntesis ejecutiva; después el diagnóstico de conversión de caja; finalmente liquidez, deuda e inversión.</x:v>
      </x:c>
      <x:c r="K9" s="270" t="str">
        <x:v>Primero una síntesis ejecutiva; después el diagnóstico de conversión de caja; finalmente liquidez, deuda e inversión.</x:v>
      </x:c>
      <x:c r="L9" s="270" t="str">
        <x:v>Primero una síntesis ejecutiva; después el diagnóstico de conversión de caja; finalmente liquidez, deuda e inversión.</x:v>
      </x:c>
    </x:row>
    <x:row r="10" ht="38" customHeight="1">
      <x:c r="A10" s="267" t="str">
        <x:v>Periodo por defecto</x:v>
      </x:c>
      <x:c r="B10" s="267" t="str">
        <x:v>Periodo por defecto</x:v>
      </x:c>
      <x:c r="C10" s="270" t="str">
        <x:v>2026 LTM comparado con 2025. El detalle mensual permite entender el episodio de tensión entre abril y agosto de 2025.</x:v>
      </x:c>
      <x:c r="D10" s="270" t="str">
        <x:v>2026 LTM comparado con 2025. El detalle mensual permite entender el episodio de tensión entre abril y agosto de 2025.</x:v>
      </x:c>
      <x:c r="E10" s="270" t="str">
        <x:v>2026 LTM comparado con 2025. El detalle mensual permite entender el episodio de tensión entre abril y agosto de 2025.</x:v>
      </x:c>
      <x:c r="F10" s="270" t="str">
        <x:v>2026 LTM comparado con 2025. El detalle mensual permite entender el episodio de tensión entre abril y agosto de 2025.</x:v>
      </x:c>
      <x:c r="G10" s="270" t="str">
        <x:v>2026 LTM comparado con 2025. El detalle mensual permite entender el episodio de tensión entre abril y agosto de 2025.</x:v>
      </x:c>
      <x:c r="H10" s="270" t="str">
        <x:v>2026 LTM comparado con 2025. El detalle mensual permite entender el episodio de tensión entre abril y agosto de 2025.</x:v>
      </x:c>
      <x:c r="I10" s="270" t="str">
        <x:v>2026 LTM comparado con 2025. El detalle mensual permite entender el episodio de tensión entre abril y agosto de 2025.</x:v>
      </x:c>
      <x:c r="J10" s="270" t="str">
        <x:v>2026 LTM comparado con 2025. El detalle mensual permite entender el episodio de tensión entre abril y agosto de 2025.</x:v>
      </x:c>
      <x:c r="K10" s="270" t="str">
        <x:v>2026 LTM comparado con 2025. El detalle mensual permite entender el episodio de tensión entre abril y agosto de 2025.</x:v>
      </x:c>
      <x:c r="L10" s="270" t="str">
        <x:v>2026 LTM comparado con 2025. El detalle mensual permite entender el episodio de tensión entre abril y agosto de 2025.</x:v>
      </x:c>
    </x:row>
    <x:row r="11" ht="38" customHeight="1">
      <x:c r="A11" s="267" t="str">
        <x:v>Criterio visual</x:v>
      </x:c>
      <x:c r="B11" s="267" t="str">
        <x:v>Criterio visual</x:v>
      </x:c>
      <x:c r="C11" s="270" t="str">
        <x:v>Pocos gráficos, cada uno ligado a una pregunta y una decisión. Rojo únicamente para alertas reales; no para simples números negativos.</x:v>
      </x:c>
      <x:c r="D11" s="270" t="str">
        <x:v>Pocos gráficos, cada uno ligado a una pregunta y una decisión. Rojo únicamente para alertas reales; no para simples números negativos.</x:v>
      </x:c>
      <x:c r="E11" s="270" t="str">
        <x:v>Pocos gráficos, cada uno ligado a una pregunta y una decisión. Rojo únicamente para alertas reales; no para simples números negativos.</x:v>
      </x:c>
      <x:c r="F11" s="270" t="str">
        <x:v>Pocos gráficos, cada uno ligado a una pregunta y una decisión. Rojo únicamente para alertas reales; no para simples números negativos.</x:v>
      </x:c>
      <x:c r="G11" s="270" t="str">
        <x:v>Pocos gráficos, cada uno ligado a una pregunta y una decisión. Rojo únicamente para alertas reales; no para simples números negativos.</x:v>
      </x:c>
      <x:c r="H11" s="270" t="str">
        <x:v>Pocos gráficos, cada uno ligado a una pregunta y una decisión. Rojo únicamente para alertas reales; no para simples números negativos.</x:v>
      </x:c>
      <x:c r="I11" s="270" t="str">
        <x:v>Pocos gráficos, cada uno ligado a una pregunta y una decisión. Rojo únicamente para alertas reales; no para simples números negativos.</x:v>
      </x:c>
      <x:c r="J11" s="270" t="str">
        <x:v>Pocos gráficos, cada uno ligado a una pregunta y una decisión. Rojo únicamente para alertas reales; no para simples números negativos.</x:v>
      </x:c>
      <x:c r="K11" s="270" t="str">
        <x:v>Pocos gráficos, cada uno ligado a una pregunta y una decisión. Rojo únicamente para alertas reales; no para simples números negativos.</x:v>
      </x:c>
      <x:c r="L11" s="270" t="str">
        <x:v>Pocos gráficos, cada uno ligado a una pregunta y una decisión. Rojo únicamente para alertas reales; no para simples números negativos.</x:v>
      </x:c>
    </x:row>
    <x:row r="14" ht="26" customHeight="1">
      <x:c r="A14" s="262" t="str">
        <x:v>Las tres vistas y la decisión que debe apoyar cada una</x:v>
      </x:c>
      <x:c r="B14" s="262" t="str">
        <x:v>Las tres vistas y la decisión que debe apoyar cada una</x:v>
      </x:c>
      <x:c r="C14" s="262" t="str">
        <x:v>Las tres vistas y la decisión que debe apoyar cada una</x:v>
      </x:c>
      <x:c r="D14" s="262" t="str">
        <x:v>Las tres vistas y la decisión que debe apoyar cada una</x:v>
      </x:c>
      <x:c r="E14" s="262" t="str">
        <x:v>Las tres vistas y la decisión que debe apoyar cada una</x:v>
      </x:c>
      <x:c r="F14" s="262" t="str">
        <x:v>Las tres vistas y la decisión que debe apoyar cada una</x:v>
      </x:c>
      <x:c r="G14" s="262" t="str">
        <x:v>Las tres vistas y la decisión que debe apoyar cada una</x:v>
      </x:c>
      <x:c r="H14" s="262" t="str">
        <x:v>Las tres vistas y la decisión que debe apoyar cada una</x:v>
      </x:c>
      <x:c r="I14" s="262" t="str">
        <x:v>Las tres vistas y la decisión que debe apoyar cada una</x:v>
      </x:c>
      <x:c r="J14" s="262" t="str">
        <x:v>Las tres vistas y la decisión que debe apoyar cada una</x:v>
      </x:c>
      <x:c r="K14" s="262" t="str">
        <x:v>Las tres vistas y la decisión que debe apoyar cada una</x:v>
      </x:c>
      <x:c r="L14" s="262" t="str">
        <x:v>Las tres vistas y la decisión que debe apoyar cada una</x:v>
      </x:c>
    </x:row>
    <x:row r="16" ht="34" customHeight="1">
      <x:c r="A16" s="274" t="str">
        <x:v>Vista</x:v>
      </x:c>
      <x:c r="B16" s="274" t="str">
        <x:v>Nombre</x:v>
      </x:c>
      <x:c r="C16" s="274" t="str">
        <x:v>Pregunta de negocio</x:v>
      </x:c>
      <x:c r="D16" s="274" t="str">
        <x:v>Usuarios</x:v>
      </x:c>
      <x:c r="E16" s="274" t="str">
        <x:v>KPIs protagonistas</x:v>
      </x:c>
      <x:c r="F16" s="274" t="str">
        <x:v>Visuales principales</x:v>
      </x:c>
      <x:c r="G16" s="274" t="str">
        <x:v>Decisión que apoya</x:v>
      </x:c>
      <x:c r="H16" s="274" t="str">
        <x:v>Mensaje esperado</x:v>
      </x:c>
      <x:c r="I16" s="274" t="str">
        <x:v>Periodo</x:v>
      </x:c>
      <x:c r="J16" s="274" t="str">
        <x:v>Nivel</x:v>
      </x:c>
      <x:c r="K16" s="274" t="str">
        <x:v>Prioridad</x:v>
      </x:c>
      <x:c r="L16" s="274" t="str">
        <x:v>Resultado</x:v>
      </x:c>
    </x:row>
    <x:row r="17" ht="108" customHeight="1">
      <x:c r="A17" s="282" t="str">
        <x:v>01</x:v>
      </x:c>
      <x:c r="B17" s="278" t="str">
        <x:v>Resumen ejecutivo</x:v>
      </x:c>
      <x:c r="C17" s="278" t="str">
        <x:v>¿La rentabilidad se convierte en caja y la liquidez es suficiente?</x:v>
      </x:c>
      <x:c r="D17" s="278" t="str">
        <x:v>Dirección · FP&amp;A · Selección</x:v>
      </x:c>
      <x:c r="E17" s="278" t="str">
        <x:v>Ingresos · Margen EBITDA · CFO · FCF · Efectivo · CFO/EBITDA · CCC · Posición financiera neta</x:v>
      </x:c>
      <x:c r="F17" s="278" t="str">
        <x:v>Beneficio vs. caja anual · Efectivo vs. deuda · Hallazgos clave</x:v>
      </x:c>
      <x:c r="G17" s="278" t="str">
        <x:v>Determinar si existe una tensión operativa, financiera o de inversión que requiera análisis.</x:v>
      </x:c>
      <x:c r="H17" s="278" t="str">
        <x:v>2025 tensiona la caja por circulante; 2026 recupera conversión y liquidez.</x:v>
      </x:c>
      <x:c r="I17" s="278" t="str">
        <x:v>2026 LTM vs. 2025</x:v>
      </x:c>
      <x:c r="J17" s="278" t="str">
        <x:v>10–15 segundos</x:v>
      </x:c>
      <x:c r="K17" s="283" t="str">
        <x:v>P1</x:v>
      </x:c>
      <x:c r="L17" s="278" t="str">
        <x:v>Entrar en la vista causal adecuada</x:v>
      </x:c>
    </x:row>
    <x:row r="18" ht="108" customHeight="1">
      <x:c r="A18" s="282" t="str">
        <x:v>02</x:v>
      </x:c>
      <x:c r="B18" s="278" t="str">
        <x:v>Conversión de caja y capital circulante</x:v>
      </x:c>
      <x:c r="C18" s="278" t="str">
        <x:v>¿Por qué el beneficio no se convierte completamente en efectivo?</x:v>
      </x:c>
      <x:c r="D18" s="278" t="str">
        <x:v>FP&amp;A · Controlling · Operaciones</x:v>
      </x:c>
      <x:c r="E18" s="278" t="str">
        <x:v>Resultado neto · CFO · CFO/EBITDA · CFO/resultado neto · DSO · DIO · DPO · CCC</x:v>
      </x:c>
      <x:c r="F18" s="278" t="str">
        <x:v>Waterfall resultado neto → CFO · Tendencia DSO/DIO/DPO/CCC · Drivers de circulante</x:v>
      </x:c>
      <x:c r="G18" s="278" t="str">
        <x:v>Priorizar cobros, inventario o condiciones de pago según su impacto en caja.</x:v>
      </x:c>
      <x:c r="H18" s="278" t="str">
        <x:v>Entre abril y agosto de 2025 el circulante absorbió 2,11 M€ pese a EBITDA positivo.</x:v>
      </x:c>
      <x:c r="I18" s="278" t="str">
        <x:v>Año y mes seleccionado</x:v>
      </x:c>
      <x:c r="J18" s="278" t="str">
        <x:v>Diagnóstico causal</x:v>
      </x:c>
      <x:c r="K18" s="283" t="str">
        <x:v>P1</x:v>
      </x:c>
      <x:c r="L18" s="278" t="str">
        <x:v>Plan de liberación de caja</x:v>
      </x:c>
    </x:row>
    <x:row r="19" ht="108" customHeight="1">
      <x:c r="A19" s="282" t="str">
        <x:v>03</x:v>
      </x:c>
      <x:c r="B19" s="278" t="str">
        <x:v>Liquidez, financiación e inversión</x:v>
      </x:c>
      <x:c r="C19" s="278" t="str">
        <x:v>¿Puede la empresa invertir y atender su deuda sin debilitar la liquidez?</x:v>
      </x:c>
      <x:c r="D19" s="278" t="str">
        <x:v>Dirección · Tesorería · FP&amp;A</x:v>
      </x:c>
      <x:c r="E19" s="278" t="str">
        <x:v>Efectivo · FCF · Current ratio · Quick ratio · Posición financiera neta · Cobertura de intereses · CAPEX/ingresos</x:v>
      </x:c>
      <x:c r="F19" s="278" t="str">
        <x:v>CFO/CFI/CFF y efectivo · Efectivo vs. deuda · CAPEX vs. FCF</x:v>
      </x:c>
      <x:c r="G19" s="278" t="str">
        <x:v>Decidir si utilizar deuda, escalonar CAPEX, amortizar financiación o conservar liquidez.</x:v>
      </x:c>
      <x:c r="H19" s="278" t="str">
        <x:v>La deuda fue un colchón temporal en 2025; el CAPEX de septiembre de 2026 fue absorbible.</x:v>
      </x:c>
      <x:c r="I19" s="278" t="str">
        <x:v>Mensual + cierre anual</x:v>
      </x:c>
      <x:c r="J19" s="278" t="str">
        <x:v>Solvencia y asignación</x:v>
      </x:c>
      <x:c r="K19" s="283" t="str">
        <x:v>P2</x:v>
      </x:c>
      <x:c r="L19" s="278" t="str">
        <x:v>Decisión de financiación/inversión</x:v>
      </x:c>
    </x:row>
    <x:row r="22" ht="26" customHeight="1">
      <x:c r="A22" s="262" t="str">
        <x:v>Filtros e interacciones que sí tienen sentido</x:v>
      </x:c>
      <x:c r="B22" s="262" t="str">
        <x:v>Filtros e interacciones que sí tienen sentido</x:v>
      </x:c>
      <x:c r="C22" s="262" t="str">
        <x:v>Filtros e interacciones que sí tienen sentido</x:v>
      </x:c>
      <x:c r="D22" s="262" t="str">
        <x:v>Filtros e interacciones que sí tienen sentido</x:v>
      </x:c>
      <x:c r="E22" s="262" t="str">
        <x:v>Filtros e interacciones que sí tienen sentido</x:v>
      </x:c>
      <x:c r="F22" s="262" t="str">
        <x:v>Filtros e interacciones que sí tienen sentido</x:v>
      </x:c>
      <x:c r="G22" s="262" t="str">
        <x:v>Filtros e interacciones que sí tienen sentido</x:v>
      </x:c>
      <x:c r="H22" s="262" t="str">
        <x:v>Filtros e interacciones que sí tienen sentido</x:v>
      </x:c>
      <x:c r="I22" s="262" t="str">
        <x:v>Filtros e interacciones que sí tienen sentido</x:v>
      </x:c>
      <x:c r="J22" s="262" t="str">
        <x:v>Filtros e interacciones que sí tienen sentido</x:v>
      </x:c>
      <x:c r="K22" s="262" t="str">
        <x:v>Filtros e interacciones que sí tienen sentido</x:v>
      </x:c>
      <x:c r="L22" s="262" t="str">
        <x:v>Filtros e interacciones que sí tienen sentido</x:v>
      </x:c>
    </x:row>
    <x:row r="24" ht="34" customHeight="1">
      <x:c r="A24" s="274" t="str">
        <x:v>Elemento</x:v>
      </x:c>
      <x:c r="B24" s="274" t="str">
        <x:v>Comportamiento</x:v>
      </x:c>
      <x:c r="C24" s="274" t="str">
        <x:v>Disponible</x:v>
      </x:c>
      <x:c r="D24" s="274" t="str">
        <x:v>Motivo</x:v>
      </x:c>
      <x:c r="E24" s="274" t="str">
        <x:v>No debe hacer</x:v>
      </x:c>
      <x:c r="F24" s="274" t="str">
        <x:v>Aplicación</x:v>
      </x:c>
    </x:row>
    <x:row r="25" ht="66" customHeight="1">
      <x:c r="A25" s="278" t="str">
        <x:v>Periodo</x:v>
      </x:c>
      <x:c r="B25" s="278" t="str">
        <x:v>2024 · 2025 · 2026 · LTM</x:v>
      </x:c>
      <x:c r="C25" s="287" t="str">
        <x:v>Sí</x:v>
      </x:c>
      <x:c r="D25" s="278" t="str">
        <x:v>Compara fases del caso y permite centrar el diagnóstico.</x:v>
      </x:c>
      <x:c r="E25" s="278" t="str">
        <x:v>No mezclar meses de distintos ejercicios sin indicarlo.</x:v>
      </x:c>
      <x:c r="F25" s="278" t="str">
        <x:v>Global</x:v>
      </x:c>
    </x:row>
    <x:row r="26" ht="66" customHeight="1">
      <x:c r="A26" s="278" t="str">
        <x:v>Granularidad</x:v>
      </x:c>
      <x:c r="B26" s="278" t="str">
        <x:v>Anual en síntesis; mensual en detalle</x:v>
      </x:c>
      <x:c r="C26" s="287" t="str">
        <x:v>Sí</x:v>
      </x:c>
      <x:c r="D26" s="278" t="str">
        <x:v>Evita saturar la portada y conserva capacidad de explicación.</x:v>
      </x:c>
      <x:c r="E26" s="278" t="str">
        <x:v>No mostrar 36 etiquetas si no aportan lectura.</x:v>
      </x:c>
      <x:c r="F26" s="278" t="str">
        <x:v>Vistas 01–03</x:v>
      </x:c>
    </x:row>
    <x:row r="27" ht="66" customHeight="1">
      <x:c r="A27" s="278" t="str">
        <x:v>Selección de mes</x:v>
      </x:c>
      <x:c r="B27" s="278" t="str">
        <x:v>Actualiza cards, waterfall y drivers</x:v>
      </x:c>
      <x:c r="C27" s="287" t="str">
        <x:v>Sí</x:v>
      </x:c>
      <x:c r="D27" s="278" t="str">
        <x:v>Conecta el dato agregado con la causa del periodo.</x:v>
      </x:c>
      <x:c r="E27" s="278" t="str">
        <x:v>No cambiar de periodo sin mostrarlo en el título.</x:v>
      </x:c>
      <x:c r="F27" s="278" t="str">
        <x:v>Vistas 02–03</x:v>
      </x:c>
    </x:row>
    <x:row r="28" ht="66" customHeight="1">
      <x:c r="A28" s="278" t="str">
        <x:v>Restablecer</x:v>
      </x:c>
      <x:c r="B28" s="278" t="str">
        <x:v>Vuelve a 2026 LTM vs. 2025</x:v>
      </x:c>
      <x:c r="C28" s="287" t="str">
        <x:v>Sí</x:v>
      </x:c>
      <x:c r="D28" s="278" t="str">
        <x:v>Mantiene una lectura inicial coherente.</x:v>
      </x:c>
      <x:c r="E28" s="278" t="str">
        <x:v>No dejar filtros ocultos activos.</x:v>
      </x:c>
      <x:c r="F28" s="278" t="str">
        <x:v>Global</x:v>
      </x:c>
    </x:row>
    <x:row r="29" ht="66" customHeight="1">
      <x:c r="A29" s="278" t="str">
        <x:v>Escenario</x:v>
      </x:c>
      <x:c r="B29" s="278" t="str">
        <x:v>Actual / Budget / Forecast</x:v>
      </x:c>
      <x:c r="C29" s="291" t="str">
        <x:v>No</x:v>
      </x:c>
      <x:c r="D29" s="278" t="str">
        <x:v>El dataset actual contiene únicamente datos históricos simulados.</x:v>
      </x:c>
      <x:c r="E29" s="278" t="str">
        <x:v>No inventar budget ni forecast.</x:v>
      </x:c>
      <x:c r="F29" s="278" t="str">
        <x:v>Extensión futura</x:v>
      </x:c>
    </x:row>
    <x:row r="30" ht="66" customHeight="1">
      <x:c r="A30" s="278" t="str">
        <x:v>Cliente / producto / unidad</x:v>
      </x:c>
      <x:c r="B30" s="278" t="str">
        <x:v>Drill-down operativo</x:v>
      </x:c>
      <x:c r="C30" s="291" t="str">
        <x:v>No</x:v>
      </x:c>
      <x:c r="D30" s="278" t="str">
        <x:v>El dataset está consolidado y no contiene esas dimensiones.</x:v>
      </x:c>
      <x:c r="E30" s="278" t="str">
        <x:v>No atribuir causas a áreas o clientes concretos.</x:v>
      </x:c>
      <x:c r="F30" s="278" t="str">
        <x:v>Extensión futura</x:v>
      </x:c>
    </x:row>
    <x:row r="33" ht="26" customHeight="1">
      <x:c r="A33" s="262" t="str">
        <x:v>Cobertura real del modelo de datos</x:v>
      </x:c>
      <x:c r="B33" s="262" t="str">
        <x:v>Cobertura real del modelo de datos</x:v>
      </x:c>
      <x:c r="C33" s="262" t="str">
        <x:v>Cobertura real del modelo de datos</x:v>
      </x:c>
      <x:c r="D33" s="262" t="str">
        <x:v>Cobertura real del modelo de datos</x:v>
      </x:c>
      <x:c r="E33" s="262" t="str">
        <x:v>Cobertura real del modelo de datos</x:v>
      </x:c>
      <x:c r="F33" s="262" t="str">
        <x:v>Cobertura real del modelo de datos</x:v>
      </x:c>
      <x:c r="G33" s="262" t="str">
        <x:v>Cobertura real del modelo de datos</x:v>
      </x:c>
      <x:c r="H33" s="262" t="str">
        <x:v>Cobertura real del modelo de datos</x:v>
      </x:c>
      <x:c r="I33" s="262" t="str">
        <x:v>Cobertura real del modelo de datos</x:v>
      </x:c>
      <x:c r="J33" s="262" t="str">
        <x:v>Cobertura real del modelo de datos</x:v>
      </x:c>
      <x:c r="K33" s="262" t="str">
        <x:v>Cobertura real del modelo de datos</x:v>
      </x:c>
      <x:c r="L33" s="262" t="str">
        <x:v>Cobertura real del modelo de datos</x:v>
      </x:c>
    </x:row>
    <x:row r="35" ht="34" customHeight="1">
      <x:c r="A35" s="274" t="str">
        <x:v>Pregunta</x:v>
      </x:c>
      <x:c r="B35" s="274" t="str">
        <x:v>¿Se puede responder?</x:v>
      </x:c>
      <x:c r="C35" s="274" t="str">
        <x:v>Datos disponibles</x:v>
      </x:c>
      <x:c r="D35" s="274" t="str">
        <x:v>Nivel de confianza</x:v>
      </x:c>
      <x:c r="E35" s="274" t="str">
        <x:v>Limitación</x:v>
      </x:c>
      <x:c r="F35" s="274" t="str">
        <x:v>Tratamiento en el dashboard</x:v>
      </x:c>
    </x:row>
    <x:row r="36" ht="68" customHeight="1">
      <x:c r="A36" s="278" t="str">
        <x:v>¿De dónde procede el efectivo?</x:v>
      </x:c>
      <x:c r="B36" s="285" t="str">
        <x:v>Sí</x:v>
      </x:c>
      <x:c r="C36" s="278" t="str">
        <x:v>P&amp;L, balance y cash flow indirecto conciliado</x:v>
      </x:c>
      <x:c r="D36" s="278" t="str">
        <x:v>Alta</x:v>
      </x:c>
      <x:c r="E36" s="278" t="str">
        <x:v>Consolidado mensual</x:v>
      </x:c>
      <x:c r="F36" s="278" t="str">
        <x:v>Bridge y componentes CFO/CFI/CFF</x:v>
      </x:c>
    </x:row>
    <x:row r="37" ht="68" customHeight="1">
      <x:c r="A37" s="278" t="str">
        <x:v>¿Por qué divergen beneficio y CFO?</x:v>
      </x:c>
      <x:c r="B37" s="285" t="str">
        <x:v>Sí</x:v>
      </x:c>
      <x:c r="C37" s="278" t="str">
        <x:v>Resultado neto, no caja y variaciones de circulante</x:v>
      </x:c>
      <x:c r="D37" s="278" t="str">
        <x:v>Alta</x:v>
      </x:c>
      <x:c r="E37" s="278" t="str">
        <x:v>Sin detalle de transacción</x:v>
      </x:c>
      <x:c r="F37" s="278" t="str">
        <x:v>Waterfall resultado neto → CFO</x:v>
      </x:c>
    </x:row>
    <x:row r="38" ht="68" customHeight="1">
      <x:c r="A38" s="278" t="str">
        <x:v>¿Qué palanca de circulante absorbe caja?</x:v>
      </x:c>
      <x:c r="B38" s="285" t="str">
        <x:v>Sí, a nivel agregado</x:v>
      </x:c>
      <x:c r="C38" s="278" t="str">
        <x:v>Clientes, inventario, proveedores y otros saldos</x:v>
      </x:c>
      <x:c r="D38" s="278" t="str">
        <x:v>Media-alta</x:v>
      </x:c>
      <x:c r="E38" s="278" t="str">
        <x:v>Sin aging ni entidad operativa</x:v>
      </x:c>
      <x:c r="F38" s="278" t="str">
        <x:v>Drivers por categoría y tendencia de días</x:v>
      </x:c>
    </x:row>
    <x:row r="39" ht="68" customHeight="1">
      <x:c r="A39" s="278" t="str">
        <x:v>¿La liquidez y la deuda son sostenibles?</x:v>
      </x:c>
      <x:c r="B39" s="285" t="str">
        <x:v>Sí</x:v>
      </x:c>
      <x:c r="C39" s="278" t="str">
        <x:v>Efectivo, deuda, leases, intereses y ratios</x:v>
      </x:c>
      <x:c r="D39" s="278" t="str">
        <x:v>Alta</x:v>
      </x:c>
      <x:c r="E39" s="278" t="str">
        <x:v>Sin covenants contractuales</x:v>
      </x:c>
      <x:c r="F39" s="278" t="str">
        <x:v>Efectivo vs. deuda y ratios de cobertura</x:v>
      </x:c>
    </x:row>
    <x:row r="40" ht="68" customHeight="1">
      <x:c r="A40" s="278" t="str">
        <x:v>¿El CAPEX es asumible?</x:v>
      </x:c>
      <x:c r="B40" s="285" t="str">
        <x:v>Sí, financieramente</x:v>
      </x:c>
      <x:c r="C40" s="278" t="str">
        <x:v>CAPEX, CFO, FCF y efectivo</x:v>
      </x:c>
      <x:c r="D40" s="278" t="str">
        <x:v>Media-alta</x:v>
      </x:c>
      <x:c r="E40" s="278" t="str">
        <x:v>Sin ROI/payback por proyecto</x:v>
      </x:c>
      <x:c r="F40" s="278" t="str">
        <x:v>CAPEX vs. FCF + nota de alcance</x:v>
      </x:c>
    </x:row>
    <x:row r="41" ht="68" customHeight="1">
      <x:c r="A41" s="278" t="str">
        <x:v>¿Qué cliente, producto o unidad causa el problema?</x:v>
      </x:c>
      <x:c r="B41" s="289" t="str">
        <x:v>No</x:v>
      </x:c>
      <x:c r="C41" s="278" t="str">
        <x:v>No existen esas dimensiones</x:v>
      </x:c>
      <x:c r="D41" s="278" t="str">
        <x:v>No aplicable</x:v>
      </x:c>
      <x:c r="E41" s="278" t="str">
        <x:v>Dataset consolidado</x:v>
      </x:c>
      <x:c r="F41" s="278" t="str">
        <x:v>Mostrar como límite, no como conclusión</x:v>
      </x:c>
    </x:row>
    <x:row r="42" ht="68" customHeight="1">
      <x:c r="A42" s="278" t="str">
        <x:v>¿Qué ocurrirá en las próximas 13 semanas?</x:v>
      </x:c>
      <x:c r="B42" s="289" t="str">
        <x:v>No</x:v>
      </x:c>
      <x:c r="C42" s="278" t="str">
        <x:v>No existe forecast prospectivo</x:v>
      </x:c>
      <x:c r="D42" s="278" t="str">
        <x:v>No aplicable</x:v>
      </x:c>
      <x:c r="E42" s="278" t="str">
        <x:v>Solo histórico</x:v>
      </x:c>
      <x:c r="F42" s="278" t="str">
        <x:v>Extensión futura claramente separada</x:v>
      </x:c>
    </x:row>
    <x:row r="45" ht="26" customHeight="1">
      <x:c r="A45" s="262" t="str">
        <x:v>Reglas para el futuro HTML</x:v>
      </x:c>
      <x:c r="B45" s="262" t="str">
        <x:v>Reglas para el futuro HTML</x:v>
      </x:c>
      <x:c r="C45" s="262" t="str">
        <x:v>Reglas para el futuro HTML</x:v>
      </x:c>
      <x:c r="D45" s="262" t="str">
        <x:v>Reglas para el futuro HTML</x:v>
      </x:c>
      <x:c r="E45" s="262" t="str">
        <x:v>Reglas para el futuro HTML</x:v>
      </x:c>
      <x:c r="F45" s="262" t="str">
        <x:v>Reglas para el futuro HTML</x:v>
      </x:c>
      <x:c r="G45" s="262" t="str">
        <x:v>Reglas para el futuro HTML</x:v>
      </x:c>
      <x:c r="H45" s="262" t="str">
        <x:v>Reglas para el futuro HTML</x:v>
      </x:c>
      <x:c r="I45" s="262" t="str">
        <x:v>Reglas para el futuro HTML</x:v>
      </x:c>
      <x:c r="J45" s="262" t="str">
        <x:v>Reglas para el futuro HTML</x:v>
      </x:c>
      <x:c r="K45" s="262" t="str">
        <x:v>Reglas para el futuro HTML</x:v>
      </x:c>
      <x:c r="L45" s="262" t="str">
        <x:v>Reglas para el futuro HTML</x:v>
      </x:c>
    </x:row>
    <x:row r="47" ht="42" customHeight="1">
      <x:c r="A47" s="267" t="str">
        <x:v>Composición</x:v>
      </x:c>
      <x:c r="B47" s="267" t="str">
        <x:v>Composición</x:v>
      </x:c>
      <x:c r="C47" s="270" t="str">
        <x:v>Ancho útil aproximado 1280 px y rejilla de 12 columnas. Máximo de 3 visuales analíticos principales por vista, además de KPIs y conclusiones.</x:v>
      </x:c>
      <x:c r="D47" s="270" t="str">
        <x:v>Ancho útil aproximado 1280 px y rejilla de 12 columnas. Máximo de 3 visuales analíticos principales por vista, además de KPIs y conclusiones.</x:v>
      </x:c>
      <x:c r="E47" s="270" t="str">
        <x:v>Ancho útil aproximado 1280 px y rejilla de 12 columnas. Máximo de 3 visuales analíticos principales por vista, además de KPIs y conclusiones.</x:v>
      </x:c>
      <x:c r="F47" s="270" t="str">
        <x:v>Ancho útil aproximado 1280 px y rejilla de 12 columnas. Máximo de 3 visuales analíticos principales por vista, además de KPIs y conclusiones.</x:v>
      </x:c>
      <x:c r="G47" s="270" t="str">
        <x:v>Ancho útil aproximado 1280 px y rejilla de 12 columnas. Máximo de 3 visuales analíticos principales por vista, además de KPIs y conclusiones.</x:v>
      </x:c>
      <x:c r="H47" s="270" t="str">
        <x:v>Ancho útil aproximado 1280 px y rejilla de 12 columnas. Máximo de 3 visuales analíticos principales por vista, además de KPIs y conclusiones.</x:v>
      </x:c>
      <x:c r="I47" s="270" t="str">
        <x:v>Ancho útil aproximado 1280 px y rejilla de 12 columnas. Máximo de 3 visuales analíticos principales por vista, además de KPIs y conclusiones.</x:v>
      </x:c>
      <x:c r="J47" s="270" t="str">
        <x:v>Ancho útil aproximado 1280 px y rejilla de 12 columnas. Máximo de 3 visuales analíticos principales por vista, además de KPIs y conclusiones.</x:v>
      </x:c>
      <x:c r="K47" s="270" t="str">
        <x:v>Ancho útil aproximado 1280 px y rejilla de 12 columnas. Máximo de 3 visuales analíticos principales por vista, además de KPIs y conclusiones.</x:v>
      </x:c>
      <x:c r="L47" s="270" t="str">
        <x:v>Ancho útil aproximado 1280 px y rejilla de 12 columnas. Máximo de 3 visuales analíticos principales por vista, además de KPIs y conclusiones.</x:v>
      </x:c>
    </x:row>
    <x:row r="48" ht="42" customHeight="1">
      <x:c r="A48" s="267" t="str">
        <x:v>Jerarquía</x:v>
      </x:c>
      <x:c r="B48" s="267" t="str">
        <x:v>Jerarquía</x:v>
      </x:c>
      <x:c r="C48" s="270" t="str">
        <x:v>Título que formule una pregunta o conclusión, unidad y periodo siempre visibles. Cada gráfico debe incluir una frase de lectura.</x:v>
      </x:c>
      <x:c r="D48" s="270" t="str">
        <x:v>Título que formule una pregunta o conclusión, unidad y periodo siempre visibles. Cada gráfico debe incluir una frase de lectura.</x:v>
      </x:c>
      <x:c r="E48" s="270" t="str">
        <x:v>Título que formule una pregunta o conclusión, unidad y periodo siempre visibles. Cada gráfico debe incluir una frase de lectura.</x:v>
      </x:c>
      <x:c r="F48" s="270" t="str">
        <x:v>Título que formule una pregunta o conclusión, unidad y periodo siempre visibles. Cada gráfico debe incluir una frase de lectura.</x:v>
      </x:c>
      <x:c r="G48" s="270" t="str">
        <x:v>Título que formule una pregunta o conclusión, unidad y periodo siempre visibles. Cada gráfico debe incluir una frase de lectura.</x:v>
      </x:c>
      <x:c r="H48" s="270" t="str">
        <x:v>Título que formule una pregunta o conclusión, unidad y periodo siempre visibles. Cada gráfico debe incluir una frase de lectura.</x:v>
      </x:c>
      <x:c r="I48" s="270" t="str">
        <x:v>Título que formule una pregunta o conclusión, unidad y periodo siempre visibles. Cada gráfico debe incluir una frase de lectura.</x:v>
      </x:c>
      <x:c r="J48" s="270" t="str">
        <x:v>Título que formule una pregunta o conclusión, unidad y periodo siempre visibles. Cada gráfico debe incluir una frase de lectura.</x:v>
      </x:c>
      <x:c r="K48" s="270" t="str">
        <x:v>Título que formule una pregunta o conclusión, unidad y periodo siempre visibles. Cada gráfico debe incluir una frase de lectura.</x:v>
      </x:c>
      <x:c r="L48" s="270" t="str">
        <x:v>Título que formule una pregunta o conclusión, unidad y periodo siempre visibles. Cada gráfico debe incluir una frase de lectura.</x:v>
      </x:c>
    </x:row>
    <x:row r="49" ht="42" customHeight="1">
      <x:c r="A49" s="267" t="str">
        <x:v>Responsive</x:v>
      </x:c>
      <x:c r="B49" s="267" t="str">
        <x:v>Responsive</x:v>
      </x:c>
      <x:c r="C49" s="270" t="str">
        <x:v>Escritorio: rejilla; tableta: dos columnas; móvil: una columna. En móvil aparecen primero KPIs, hallazgo y decisión; los gráficos se apilan.</x:v>
      </x:c>
      <x:c r="D49" s="270" t="str">
        <x:v>Escritorio: rejilla; tableta: dos columnas; móvil: una columna. En móvil aparecen primero KPIs, hallazgo y decisión; los gráficos se apilan.</x:v>
      </x:c>
      <x:c r="E49" s="270" t="str">
        <x:v>Escritorio: rejilla; tableta: dos columnas; móvil: una columna. En móvil aparecen primero KPIs, hallazgo y decisión; los gráficos se apilan.</x:v>
      </x:c>
      <x:c r="F49" s="270" t="str">
        <x:v>Escritorio: rejilla; tableta: dos columnas; móvil: una columna. En móvil aparecen primero KPIs, hallazgo y decisión; los gráficos se apilan.</x:v>
      </x:c>
      <x:c r="G49" s="270" t="str">
        <x:v>Escritorio: rejilla; tableta: dos columnas; móvil: una columna. En móvil aparecen primero KPIs, hallazgo y decisión; los gráficos se apilan.</x:v>
      </x:c>
      <x:c r="H49" s="270" t="str">
        <x:v>Escritorio: rejilla; tableta: dos columnas; móvil: una columna. En móvil aparecen primero KPIs, hallazgo y decisión; los gráficos se apilan.</x:v>
      </x:c>
      <x:c r="I49" s="270" t="str">
        <x:v>Escritorio: rejilla; tableta: dos columnas; móvil: una columna. En móvil aparecen primero KPIs, hallazgo y decisión; los gráficos se apilan.</x:v>
      </x:c>
      <x:c r="J49" s="270" t="str">
        <x:v>Escritorio: rejilla; tableta: dos columnas; móvil: una columna. En móvil aparecen primero KPIs, hallazgo y decisión; los gráficos se apilan.</x:v>
      </x:c>
      <x:c r="K49" s="270" t="str">
        <x:v>Escritorio: rejilla; tableta: dos columnas; móvil: una columna. En móvil aparecen primero KPIs, hallazgo y decisión; los gráficos se apilan.</x:v>
      </x:c>
      <x:c r="L49" s="270" t="str">
        <x:v>Escritorio: rejilla; tableta: dos columnas; móvil: una columna. En móvil aparecen primero KPIs, hallazgo y decisión; los gráficos se apilan.</x:v>
      </x:c>
    </x:row>
    <x:row r="50" ht="42" customHeight="1">
      <x:c r="A50" s="267" t="str">
        <x:v>Accesibilidad</x:v>
      </x:c>
      <x:c r="B50" s="267" t="str">
        <x:v>Accesibilidad</x:v>
      </x:c>
      <x:c r="C50" s="270" t="str">
        <x:v>Contraste AA, navegación por teclado, foco visible y tooltips accesibles también por toque/foco. El color nunca será el único indicador.</x:v>
      </x:c>
      <x:c r="D50" s="270" t="str">
        <x:v>Contraste AA, navegación por teclado, foco visible y tooltips accesibles también por toque/foco. El color nunca será el único indicador.</x:v>
      </x:c>
      <x:c r="E50" s="270" t="str">
        <x:v>Contraste AA, navegación por teclado, foco visible y tooltips accesibles también por toque/foco. El color nunca será el único indicador.</x:v>
      </x:c>
      <x:c r="F50" s="270" t="str">
        <x:v>Contraste AA, navegación por teclado, foco visible y tooltips accesibles también por toque/foco. El color nunca será el único indicador.</x:v>
      </x:c>
      <x:c r="G50" s="270" t="str">
        <x:v>Contraste AA, navegación por teclado, foco visible y tooltips accesibles también por toque/foco. El color nunca será el único indicador.</x:v>
      </x:c>
      <x:c r="H50" s="270" t="str">
        <x:v>Contraste AA, navegación por teclado, foco visible y tooltips accesibles también por toque/foco. El color nunca será el único indicador.</x:v>
      </x:c>
      <x:c r="I50" s="270" t="str">
        <x:v>Contraste AA, navegación por teclado, foco visible y tooltips accesibles también por toque/foco. El color nunca será el único indicador.</x:v>
      </x:c>
      <x:c r="J50" s="270" t="str">
        <x:v>Contraste AA, navegación por teclado, foco visible y tooltips accesibles también por toque/foco. El color nunca será el único indicador.</x:v>
      </x:c>
      <x:c r="K50" s="270" t="str">
        <x:v>Contraste AA, navegación por teclado, foco visible y tooltips accesibles también por toque/foco. El color nunca será el único indicador.</x:v>
      </x:c>
      <x:c r="L50" s="270" t="str">
        <x:v>Contraste AA, navegación por teclado, foco visible y tooltips accesibles también por toque/foco. El color nunca será el único indicador.</x:v>
      </x:c>
    </x:row>
    <x:row r="51" ht="42" customHeight="1">
      <x:c r="A51" s="267" t="str">
        <x:v>Estilo</x:v>
      </x:c>
      <x:c r="B51" s="267" t="str">
        <x:v>Estilo</x:v>
      </x:c>
      <x:c r="C51" s="270" t="str">
        <x:v>Fondo crema/marfil, bloques verde agua, texto azul petróleo y turquesa para interacción. Rojo apagado únicamente para alertas comprobadas.</x:v>
      </x:c>
      <x:c r="D51" s="270" t="str">
        <x:v>Fondo crema/marfil, bloques verde agua, texto azul petróleo y turquesa para interacción. Rojo apagado únicamente para alertas comprobadas.</x:v>
      </x:c>
      <x:c r="E51" s="270" t="str">
        <x:v>Fondo crema/marfil, bloques verde agua, texto azul petróleo y turquesa para interacción. Rojo apagado únicamente para alertas comprobadas.</x:v>
      </x:c>
      <x:c r="F51" s="270" t="str">
        <x:v>Fondo crema/marfil, bloques verde agua, texto azul petróleo y turquesa para interacción. Rojo apagado únicamente para alertas comprobadas.</x:v>
      </x:c>
      <x:c r="G51" s="270" t="str">
        <x:v>Fondo crema/marfil, bloques verde agua, texto azul petróleo y turquesa para interacción. Rojo apagado únicamente para alertas comprobadas.</x:v>
      </x:c>
      <x:c r="H51" s="270" t="str">
        <x:v>Fondo crema/marfil, bloques verde agua, texto azul petróleo y turquesa para interacción. Rojo apagado únicamente para alertas comprobadas.</x:v>
      </x:c>
      <x:c r="I51" s="270" t="str">
        <x:v>Fondo crema/marfil, bloques verde agua, texto azul petróleo y turquesa para interacción. Rojo apagado únicamente para alertas comprobadas.</x:v>
      </x:c>
      <x:c r="J51" s="270" t="str">
        <x:v>Fondo crema/marfil, bloques verde agua, texto azul petróleo y turquesa para interacción. Rojo apagado únicamente para alertas comprobadas.</x:v>
      </x:c>
      <x:c r="K51" s="270" t="str">
        <x:v>Fondo crema/marfil, bloques verde agua, texto azul petróleo y turquesa para interacción. Rojo apagado únicamente para alertas comprobadas.</x:v>
      </x:c>
      <x:c r="L51" s="270" t="str">
        <x:v>Fondo crema/marfil, bloques verde agua, texto azul petróleo y turquesa para interacción. Rojo apagado únicamente para alertas comprobadas.</x:v>
      </x:c>
    </x:row>
    <x:row r="52" ht="42" customHeight="1">
      <x:c r="A52" s="267" t="str">
        <x:v>Lenguaje</x:v>
      </x:c>
      <x:c r="B52" s="267" t="str">
        <x:v>Lenguaje</x:v>
      </x:c>
      <x:c r="C52" s="270" t="str">
        <x:v>Contenido visible en español; nombres técnicos en inglés cuando aporten reconocimiento profesional. Importes en M€ o k€ y datos señalados como simulados.</x:v>
      </x:c>
      <x:c r="D52" s="270" t="str">
        <x:v>Contenido visible en español; nombres técnicos en inglés cuando aporten reconocimiento profesional. Importes en M€ o k€ y datos señalados como simulados.</x:v>
      </x:c>
      <x:c r="E52" s="270" t="str">
        <x:v>Contenido visible en español; nombres técnicos en inglés cuando aporten reconocimiento profesional. Importes en M€ o k€ y datos señalados como simulados.</x:v>
      </x:c>
      <x:c r="F52" s="270" t="str">
        <x:v>Contenido visible en español; nombres técnicos en inglés cuando aporten reconocimiento profesional. Importes en M€ o k€ y datos señalados como simulados.</x:v>
      </x:c>
      <x:c r="G52" s="270" t="str">
        <x:v>Contenido visible en español; nombres técnicos en inglés cuando aporten reconocimiento profesional. Importes en M€ o k€ y datos señalados como simulados.</x:v>
      </x:c>
      <x:c r="H52" s="270" t="str">
        <x:v>Contenido visible en español; nombres técnicos en inglés cuando aporten reconocimiento profesional. Importes en M€ o k€ y datos señalados como simulados.</x:v>
      </x:c>
      <x:c r="I52" s="270" t="str">
        <x:v>Contenido visible en español; nombres técnicos en inglés cuando aporten reconocimiento profesional. Importes en M€ o k€ y datos señalados como simulados.</x:v>
      </x:c>
      <x:c r="J52" s="270" t="str">
        <x:v>Contenido visible en español; nombres técnicos en inglés cuando aporten reconocimiento profesional. Importes en M€ o k€ y datos señalados como simulados.</x:v>
      </x:c>
      <x:c r="K52" s="270" t="str">
        <x:v>Contenido visible en español; nombres técnicos en inglés cuando aporten reconocimiento profesional. Importes en M€ o k€ y datos señalados como simulados.</x:v>
      </x:c>
      <x:c r="L52" s="270" t="str">
        <x:v>Contenido visible en español; nombres técnicos en inglés cuando aporten reconocimiento profesional. Importes en M€ o k€ y datos señalados como simulados.</x:v>
      </x:c>
    </x:row>
    <x:row r="53" ht="42" customHeight="1">
      <x:c r="A53" s="267" t="str">
        <x:v>Credibilidad</x:v>
      </x:c>
      <x:c r="B53" s="267" t="str">
        <x:v>Credibilidad</x:v>
      </x:c>
      <x:c r="C53" s="270" t="str">
        <x:v>No afirmar que existe un .pbix, conexión a Power BI o análisis de una empresa real. Incluir metodología, fórmulas y límites.</x:v>
      </x:c>
      <x:c r="D53" s="270" t="str">
        <x:v>No afirmar que existe un .pbix, conexión a Power BI o análisis de una empresa real. Incluir metodología, fórmulas y límites.</x:v>
      </x:c>
      <x:c r="E53" s="270" t="str">
        <x:v>No afirmar que existe un .pbix, conexión a Power BI o análisis de una empresa real. Incluir metodología, fórmulas y límites.</x:v>
      </x:c>
      <x:c r="F53" s="270" t="str">
        <x:v>No afirmar que existe un .pbix, conexión a Power BI o análisis de una empresa real. Incluir metodología, fórmulas y límites.</x:v>
      </x:c>
      <x:c r="G53" s="270" t="str">
        <x:v>No afirmar que existe un .pbix, conexión a Power BI o análisis de una empresa real. Incluir metodología, fórmulas y límites.</x:v>
      </x:c>
      <x:c r="H53" s="270" t="str">
        <x:v>No afirmar que existe un .pbix, conexión a Power BI o análisis de una empresa real. Incluir metodología, fórmulas y límites.</x:v>
      </x:c>
      <x:c r="I53" s="270" t="str">
        <x:v>No afirmar que existe un .pbix, conexión a Power BI o análisis de una empresa real. Incluir metodología, fórmulas y límites.</x:v>
      </x:c>
      <x:c r="J53" s="270" t="str">
        <x:v>No afirmar que existe un .pbix, conexión a Power BI o análisis de una empresa real. Incluir metodología, fórmulas y límites.</x:v>
      </x:c>
      <x:c r="K53" s="270" t="str">
        <x:v>No afirmar que existe un .pbix, conexión a Power BI o análisis de una empresa real. Incluir metodología, fórmulas y límites.</x:v>
      </x:c>
      <x:c r="L53" s="270" t="str">
        <x:v>No afirmar que existe un .pbix, conexión a Power BI o análisis de una empresa real. Incluir metodología, fórmulas y límites.</x:v>
      </x:c>
    </x:row>
  </x:sheetData>
  <x:mergeCells>
    <x:mergeCell ref="A1:L1"/>
    <x:mergeCell ref="A2:L2"/>
    <x:mergeCell ref="A4:L4"/>
    <x:mergeCell ref="A6:B6"/>
    <x:mergeCell ref="C6:L6"/>
    <x:mergeCell ref="A7:B7"/>
    <x:mergeCell ref="C7:L7"/>
    <x:mergeCell ref="A8:B8"/>
    <x:mergeCell ref="C8:L8"/>
    <x:mergeCell ref="A9:B9"/>
    <x:mergeCell ref="C9:L9"/>
    <x:mergeCell ref="A10:B10"/>
    <x:mergeCell ref="C10:L10"/>
    <x:mergeCell ref="A11:B11"/>
    <x:mergeCell ref="C11:L11"/>
    <x:mergeCell ref="A14:L14"/>
    <x:mergeCell ref="A22:L22"/>
    <x:mergeCell ref="A33:L33"/>
    <x:mergeCell ref="A45:L45"/>
    <x:mergeCell ref="A47:B47"/>
    <x:mergeCell ref="C47:L47"/>
    <x:mergeCell ref="A48:B48"/>
    <x:mergeCell ref="C48:L48"/>
    <x:mergeCell ref="A49:B49"/>
    <x:mergeCell ref="C49:L49"/>
    <x:mergeCell ref="A50:B50"/>
    <x:mergeCell ref="C50:L50"/>
    <x:mergeCell ref="A51:B51"/>
    <x:mergeCell ref="C51:L51"/>
    <x:mergeCell ref="A52:B52"/>
    <x:mergeCell ref="C52:L52"/>
    <x:mergeCell ref="A53:B53"/>
    <x:mergeCell ref="C53:L53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2" hidden="0" customWidth="1"/>
    <x:col min="3" max="3" width="39" hidden="0" customWidth="1"/>
    <x:col min="4" max="4" width="23" hidden="0" customWidth="1"/>
    <x:col min="5" max="5" width="37" hidden="0" customWidth="1"/>
    <x:col min="6" max="6" width="55" hidden="0" customWidth="1"/>
    <x:col min="7" max="7" width="24" hidden="0" customWidth="1"/>
    <x:col min="8" max="8" width="34" hidden="0" customWidth="1"/>
    <x:col min="9" max="9" width="45" hidden="0" customWidth="1"/>
    <x:col min="10" max="10" width="39" hidden="0" customWidth="1"/>
    <x:col min="11" max="11" width="43" hidden="0" customWidth="1"/>
    <x:col min="12" max="12" width="11" hidden="0" customWidth="1"/>
  </x:cols>
  <x:sheetData>
    <x:row r="1" ht="34" customHeight="1">
      <x:c r="A1" s="256" t="str">
        <x:v>Catálogo de visuales</x:v>
      </x:c>
      <x:c r="B1" s="256" t="str">
        <x:v>Catálogo de visuales</x:v>
      </x:c>
      <x:c r="C1" s="256" t="str">
        <x:v>Catálogo de visuales</x:v>
      </x:c>
      <x:c r="D1" s="256" t="str">
        <x:v>Catálogo de visuales</x:v>
      </x:c>
      <x:c r="E1" s="256" t="str">
        <x:v>Catálogo de visuales</x:v>
      </x:c>
      <x:c r="F1" s="256" t="str">
        <x:v>Catálogo de visuales</x:v>
      </x:c>
      <x:c r="G1" s="256" t="str">
        <x:v>Catálogo de visuales</x:v>
      </x:c>
      <x:c r="H1" s="256" t="str">
        <x:v>Catálogo de visuales</x:v>
      </x:c>
      <x:c r="I1" s="256" t="str">
        <x:v>Catálogo de visuales</x:v>
      </x:c>
      <x:c r="J1" s="256" t="str">
        <x:v>Catálogo de visuales</x:v>
      </x:c>
      <x:c r="K1" s="256" t="str">
        <x:v>Catálogo de visuales</x:v>
      </x:c>
      <x:c r="L1" s="256" t="str">
        <x:v>Catálogo de visuales</x:v>
      </x:c>
    </x:row>
    <x:row r="2" ht="30" customHeight="1">
      <x:c r="A2" s="260" t="str">
        <x:v>Cada visual existe para responder una pregunta y apoyar una decisión. Los títulos propuestos son los que se trasladarán después al HTML.</x:v>
      </x:c>
      <x:c r="B2" s="260" t="str">
        <x:v>Cada visual existe para responder una pregunta y apoyar una decisión. Los títulos propuestos son los que se trasladarán después al HTML.</x:v>
      </x:c>
      <x:c r="C2" s="260" t="str">
        <x:v>Cada visual existe para responder una pregunta y apoyar una decisión. Los títulos propuestos son los que se trasladarán después al HTML.</x:v>
      </x:c>
      <x:c r="D2" s="260" t="str">
        <x:v>Cada visual existe para responder una pregunta y apoyar una decisión. Los títulos propuestos son los que se trasladarán después al HTML.</x:v>
      </x:c>
      <x:c r="E2" s="260" t="str">
        <x:v>Cada visual existe para responder una pregunta y apoyar una decisión. Los títulos propuestos son los que se trasladarán después al HTML.</x:v>
      </x:c>
      <x:c r="F2" s="260" t="str">
        <x:v>Cada visual existe para responder una pregunta y apoyar una decisión. Los títulos propuestos son los que se trasladarán después al HTML.</x:v>
      </x:c>
      <x:c r="G2" s="260" t="str">
        <x:v>Cada visual existe para responder una pregunta y apoyar una decisión. Los títulos propuestos son los que se trasladarán después al HTML.</x:v>
      </x:c>
      <x:c r="H2" s="260" t="str">
        <x:v>Cada visual existe para responder una pregunta y apoyar una decisión. Los títulos propuestos son los que se trasladarán después al HTML.</x:v>
      </x:c>
      <x:c r="I2" s="260" t="str">
        <x:v>Cada visual existe para responder una pregunta y apoyar una decisión. Los títulos propuestos son los que se trasladarán después al HTML.</x:v>
      </x:c>
      <x:c r="J2" s="260" t="str">
        <x:v>Cada visual existe para responder una pregunta y apoyar una decisión. Los títulos propuestos son los que se trasladarán después al HTML.</x:v>
      </x:c>
      <x:c r="K2" s="260" t="str">
        <x:v>Cada visual existe para responder una pregunta y apoyar una decisión. Los títulos propuestos son los que se trasladarán después al HTML.</x:v>
      </x:c>
      <x:c r="L2" s="260" t="str">
        <x:v>Cada visual existe para responder una pregunta y apoyar una decisión. Los títulos propuestos son los que se trasladarán después al HTML.</x:v>
      </x:c>
    </x:row>
    <x:row r="4" ht="34" customHeight="1">
      <x:c r="A4" s="274" t="str">
        <x:v>ID</x:v>
      </x:c>
      <x:c r="B4" s="274" t="str">
        <x:v>Vista</x:v>
      </x:c>
      <x:c r="C4" s="274" t="str">
        <x:v>Título visible</x:v>
      </x:c>
      <x:c r="D4" s="274" t="str">
        <x:v>Tipo</x:v>
      </x:c>
      <x:c r="E4" s="274" t="str">
        <x:v>Pregunta que responde</x:v>
      </x:c>
      <x:c r="F4" s="274" t="str">
        <x:v>Métricas / campos</x:v>
      </x:c>
      <x:c r="G4" s="274" t="str">
        <x:v>Filtro</x:v>
      </x:c>
      <x:c r="H4" s="274" t="str">
        <x:v>Interacción</x:v>
      </x:c>
      <x:c r="I4" s="274" t="str">
        <x:v>Lectura esperada</x:v>
      </x:c>
      <x:c r="J4" s="274" t="str">
        <x:v>Decisión</x:v>
      </x:c>
      <x:c r="K4" s="274" t="str">
        <x:v>Cautela</x:v>
      </x:c>
      <x:c r="L4" s="274" t="str">
        <x:v>Prioridad</x:v>
      </x:c>
    </x:row>
    <x:row r="5" ht="104" customHeight="1">
      <x:c r="A5" s="294" t="str">
        <x:v>V1.1</x:v>
      </x:c>
      <x:c r="B5" s="278" t="str">
        <x:v>01 · Resumen</x:v>
      </x:c>
      <x:c r="C5" s="278" t="str">
        <x:v>Indicadores clave de caja y salud financiera</x:v>
      </x:c>
      <x:c r="D5" s="278" t="str">
        <x:v>8 KPI cards</x:v>
      </x:c>
      <x:c r="E5" s="278" t="str">
        <x:v>¿Cuál es la situación actual?</x:v>
      </x:c>
      <x:c r="F5" s="278" t="str">
        <x:v>Ingresos; margen EBITDA; CFO; FCF; efectivo; CFO/EBITDA; CCC; posición financiera neta</x:v>
      </x:c>
      <x:c r="G5" s="278" t="str">
        <x:v>2026 LTM vs. 2025</x:v>
      </x:c>
      <x:c r="H5" s="278" t="str">
        <x:v>Tooltip con fórmula y variación</x:v>
      </x:c>
      <x:c r="I5" s="278" t="str">
        <x:v>La rentabilidad se convierte mejor en caja y existe un colchón de liquidez.</x:v>
      </x:c>
      <x:c r="J5" s="278" t="str">
        <x:v>Decidir si es necesario entrar al diagnóstico.</x:v>
      </x:c>
      <x:c r="K5" s="278" t="str">
        <x:v>No mezclar ratios y euros en una misma escala.</x:v>
      </x:c>
      <x:c r="L5" s="283" t="str">
        <x:v>P1</x:v>
      </x:c>
    </x:row>
    <x:row r="6" ht="104" customHeight="1">
      <x:c r="A6" s="294" t="str">
        <x:v>V1.2</x:v>
      </x:c>
      <x:c r="B6" s="278" t="str">
        <x:v>01 · Resumen</x:v>
      </x:c>
      <x:c r="C6" s="278" t="str">
        <x:v>Beneficio y caja no cuentan siempre la misma historia</x:v>
      </x:c>
      <x:c r="D6" s="278" t="str">
        <x:v>Columnas agrupadas</x:v>
      </x:c>
      <x:c r="E6" s="278" t="str">
        <x:v>¿EBITDA y resultado neto evolucionan igual que CFO y FCF?</x:v>
      </x:c>
      <x:c r="F6" s="278" t="str">
        <x:v>EBITDA; resultado neto; CFO; FCF por año</x:v>
      </x:c>
      <x:c r="G6" s="278" t="str">
        <x:v>2024–2026</x:v>
      </x:c>
      <x:c r="H6" s="278" t="str">
        <x:v>Seleccionar año actualiza hallazgos</x:v>
      </x:c>
      <x:c r="I6" s="278" t="str">
        <x:v>En 2025 el beneficio continúa positivo, pero la generación de caja se debilita.</x:v>
      </x:c>
      <x:c r="J6" s="278" t="str">
        <x:v>Investigar el puente entre beneficio y caja.</x:v>
      </x:c>
      <x:c r="K6" s="278" t="str">
        <x:v>No interpretar FCF negativo aislado sin revisar CAPEX.</x:v>
      </x:c>
      <x:c r="L6" s="283" t="str">
        <x:v>P1</x:v>
      </x:c>
    </x:row>
    <x:row r="7" ht="104" customHeight="1">
      <x:c r="A7" s="294" t="str">
        <x:v>V1.3</x:v>
      </x:c>
      <x:c r="B7" s="278" t="str">
        <x:v>01 · Resumen</x:v>
      </x:c>
      <x:c r="C7" s="278" t="str">
        <x:v>Efectivo disponible frente a obligaciones financieras</x:v>
      </x:c>
      <x:c r="D7" s="278" t="str">
        <x:v>Dos líneas</x:v>
      </x:c>
      <x:c r="E7" s="278" t="str">
        <x:v>¿El efectivo cubre deuda y arrendamientos?</x:v>
      </x:c>
      <x:c r="F7" s="278" t="str">
        <x:v>Efectivo; deuda financiera + leases</x:v>
      </x:c>
      <x:c r="G7" s="278" t="str">
        <x:v>Mensual 2024–2026</x:v>
      </x:c>
      <x:c r="H7" s="278" t="str">
        <x:v>Hover/foco muestra cifra y variación</x:v>
      </x:c>
      <x:c r="I7" s="278" t="str">
        <x:v>La disposición de deuda protege la caja en mayo de 2025; la posición mejora en 2026.</x:v>
      </x:c>
      <x:c r="J7" s="278" t="str">
        <x:v>Definir financiación y colchón mínimo.</x:v>
      </x:c>
      <x:c r="K7" s="278" t="str">
        <x:v>La deuda no es automáticamente negativa; importa su función y cobertura.</x:v>
      </x:c>
      <x:c r="L7" s="283" t="str">
        <x:v>P1</x:v>
      </x:c>
    </x:row>
    <x:row r="8" ht="104" customHeight="1">
      <x:c r="A8" s="294" t="str">
        <x:v>V1.4</x:v>
      </x:c>
      <x:c r="B8" s="278" t="str">
        <x:v>01 · Resumen</x:v>
      </x:c>
      <x:c r="C8" s="278" t="str">
        <x:v>Tres hallazgos que explican el caso</x:v>
      </x:c>
      <x:c r="D8" s="278" t="str">
        <x:v>Callouts narrativos</x:v>
      </x:c>
      <x:c r="E8" s="278" t="str">
        <x:v>¿Qué debe recordar el lector?</x:v>
      </x:c>
      <x:c r="F8" s="278" t="str">
        <x:v>Episodio 2025; recuperación 2026; inversión Sep-2026</x:v>
      </x:c>
      <x:c r="G8" s="278" t="str">
        <x:v>Periodo global</x:v>
      </x:c>
      <x:c r="H8" s="278" t="str">
        <x:v>Enlace a vista causal</x:v>
      </x:c>
      <x:c r="I8" s="278" t="str">
        <x:v>El lector entiende problema, causa y recuperación sin leer todo el informe.</x:v>
      </x:c>
      <x:c r="J8" s="278" t="str">
        <x:v>Elegir la vista de análisis siguiente.</x:v>
      </x:c>
      <x:c r="K8" s="278" t="str">
        <x:v>Conclusiones limitadas a datos simulados consolidados.</x:v>
      </x:c>
      <x:c r="L8" s="283" t="str">
        <x:v>P1</x:v>
      </x:c>
    </x:row>
    <x:row r="9" ht="104" customHeight="1">
      <x:c r="A9" s="294" t="str">
        <x:v>V2.1</x:v>
      </x:c>
      <x:c r="B9" s="278" t="str">
        <x:v>02 · Conversión</x:v>
      </x:c>
      <x:c r="C9" s="278" t="str">
        <x:v>Del resultado neto a la caja operativa</x:v>
      </x:c>
      <x:c r="D9" s="278" t="str">
        <x:v>Waterfall</x:v>
      </x:c>
      <x:c r="E9" s="278" t="str">
        <x:v>¿Qué partidas explican la diferencia entre beneficio y CFO?</x:v>
      </x:c>
      <x:c r="F9" s="278" t="str">
        <x:v>Resultado neto; D&amp;A; impairment; resultado por venta; AR; inventario; otros AC; AP; devengos; impuestos; CFO</x:v>
      </x:c>
      <x:c r="G9" s="278" t="str">
        <x:v>Año o mes seleccionado</x:v>
      </x:c>
      <x:c r="H9" s="278" t="str">
        <x:v>Selección de barra abre definición</x:v>
      </x:c>
      <x:c r="I9" s="278" t="str">
        <x:v>El capital circulante, especialmente clientes e inventario, absorbe caja en 2025.</x:v>
      </x:c>
      <x:c r="J9" s="278" t="str">
        <x:v>Priorizar la palanca con mayor impacto.</x:v>
      </x:c>
      <x:c r="K9" s="278" t="str">
        <x:v>El signo debe explicarse como entrada o salida de caja.</x:v>
      </x:c>
      <x:c r="L9" s="283" t="str">
        <x:v>P1</x:v>
      </x:c>
    </x:row>
    <x:row r="10" ht="104" customHeight="1">
      <x:c r="A10" s="294" t="str">
        <x:v>V2.2</x:v>
      </x:c>
      <x:c r="B10" s="278" t="str">
        <x:v>02 · Conversión</x:v>
      </x:c>
      <x:c r="C10" s="278" t="str">
        <x:v>Días que el efectivo permanece en la operación</x:v>
      </x:c>
      <x:c r="D10" s="278" t="str">
        <x:v>Líneas</x:v>
      </x:c>
      <x:c r="E10" s="278" t="str">
        <x:v>¿Cómo cambian cobros, inventario, pagos y CCC?</x:v>
      </x:c>
      <x:c r="F10" s="278" t="str">
        <x:v>DSO; DIO; DPO; CCC</x:v>
      </x:c>
      <x:c r="G10" s="278" t="str">
        <x:v>Mensual 2024–2026</x:v>
      </x:c>
      <x:c r="H10" s="278" t="str">
        <x:v>Leyenda activa; selección de periodo</x:v>
      </x:c>
      <x:c r="I10" s="278" t="str">
        <x:v>El CCC alcanza 84,7 días en agosto de 2025.</x:v>
      </x:c>
      <x:c r="J10" s="278" t="str">
        <x:v>Fijar objetivos de circulante y seguimiento.</x:v>
      </x:c>
      <x:c r="K10" s="278" t="str">
        <x:v>DSO/DIO/DPO son aproximaciones agregadas; no sustituyen aging.</x:v>
      </x:c>
      <x:c r="L10" s="283" t="str">
        <x:v>P1</x:v>
      </x:c>
    </x:row>
    <x:row r="11" ht="104" customHeight="1">
      <x:c r="A11" s="294" t="str">
        <x:v>V2.3</x:v>
      </x:c>
      <x:c r="B11" s="278" t="str">
        <x:v>02 · Conversión</x:v>
      </x:c>
      <x:c r="C11" s="278" t="str">
        <x:v>Qué absorbió o liberó caja en el periodo</x:v>
      </x:c>
      <x:c r="D11" s="278" t="str">
        <x:v>Barras divergentes</x:v>
      </x:c>
      <x:c r="E11" s="278" t="str">
        <x:v>¿Qué componentes del circulante explican el impacto?</x:v>
      </x:c>
      <x:c r="F11" s="278" t="str">
        <x:v>Variación AR; inventario; otros activos; AP; devengos; impuestos</x:v>
      </x:c>
      <x:c r="G11" s="278" t="str">
        <x:v>Periodo seleccionado</x:v>
      </x:c>
      <x:c r="H11" s="278" t="str">
        <x:v>Ordenar por impacto absoluto</x:v>
      </x:c>
      <x:c r="I11" s="278" t="str">
        <x:v>Entre abril y agosto de 2025 el circulante absorbe 2,11 M€.</x:v>
      </x:c>
      <x:c r="J11" s="278" t="str">
        <x:v>Asignar acciones sobre cobros, stock y pagos.</x:v>
      </x:c>
      <x:c r="K11" s="278" t="str">
        <x:v>No atribuir el impacto a clientes o áreas sin datos de detalle.</x:v>
      </x:c>
      <x:c r="L11" s="283" t="str">
        <x:v>P1</x:v>
      </x:c>
    </x:row>
    <x:row r="12" ht="104" customHeight="1">
      <x:c r="A12" s="294" t="str">
        <x:v>V2.4</x:v>
      </x:c>
      <x:c r="B12" s="278" t="str">
        <x:v>02 · Conversión</x:v>
      </x:c>
      <x:c r="C12" s="278" t="str">
        <x:v>Diagnóstico y plan de liberación de caja</x:v>
      </x:c>
      <x:c r="D12" s="278" t="str">
        <x:v>Tabla breve</x:v>
      </x:c>
      <x:c r="E12" s="278" t="str">
        <x:v>¿Qué señal, acción y responsable sugiere el análisis?</x:v>
      </x:c>
      <x:c r="F12" s="278" t="str">
        <x:v>KPI; señal; umbral; acción; frecuencia; responsable sugerido</x:v>
      </x:c>
      <x:c r="G12" s="278" t="str">
        <x:v>Periodo seleccionado</x:v>
      </x:c>
      <x:c r="H12" s="278" t="str">
        <x:v>Orden por prioridad</x:v>
      </x:c>
      <x:c r="I12" s="278" t="str">
        <x:v>Cada hallazgo termina en una acción medible.</x:v>
      </x:c>
      <x:c r="J12" s="278" t="str">
        <x:v>Activar seguimiento operativo.</x:v>
      </x:c>
      <x:c r="K12" s="278" t="str">
        <x:v>Los umbrales son orientativos y deben calibrarse por sector.</x:v>
      </x:c>
      <x:c r="L12" s="283" t="str">
        <x:v>P1</x:v>
      </x:c>
    </x:row>
    <x:row r="13" ht="104" customHeight="1">
      <x:c r="A13" s="294" t="str">
        <x:v>V3.1</x:v>
      </x:c>
      <x:c r="B13" s="278" t="str">
        <x:v>03 · Liquidez</x:v>
      </x:c>
      <x:c r="C13" s="278" t="str">
        <x:v>Cómo se mueve la caja: operación, inversión y financiación</x:v>
      </x:c>
      <x:c r="D13" s="278" t="str">
        <x:v>Columnas + línea</x:v>
      </x:c>
      <x:c r="E13" s="278" t="str">
        <x:v>¿Qué bloque genera o consume efectivo?</x:v>
      </x:c>
      <x:c r="F13" s="278" t="str">
        <x:v>CFO; CFI; CFF; efectivo final</x:v>
      </x:c>
      <x:c r="G13" s="278" t="str">
        <x:v>Mensual 2024–2026</x:v>
      </x:c>
      <x:c r="H13" s="278" t="str">
        <x:v>Seleccionar mes actualiza detalle</x:v>
      </x:c>
      <x:c r="I13" s="278" t="str">
        <x:v>La financiación compensa temporalmente la tensión operativa de 2025.</x:v>
      </x:c>
      <x:c r="J13" s="278" t="str">
        <x:v>Decidir necesidad y duración de la financiación.</x:v>
      </x:c>
      <x:c r="K13" s="278" t="str">
        <x:v>Separar movimientos del saldo acumulado de efectivo.</x:v>
      </x:c>
      <x:c r="L13" s="283" t="str">
        <x:v>P1</x:v>
      </x:c>
    </x:row>
    <x:row r="14" ht="104" customHeight="1">
      <x:c r="A14" s="294" t="str">
        <x:v>V3.2</x:v>
      </x:c>
      <x:c r="B14" s="278" t="str">
        <x:v>03 · Liquidez</x:v>
      </x:c>
      <x:c r="C14" s="278" t="str">
        <x:v>Liquidez y capacidad de pago</x:v>
      </x:c>
      <x:c r="D14" s="278" t="str">
        <x:v>KPI cards + tendencia</x:v>
      </x:c>
      <x:c r="E14" s="278" t="str">
        <x:v>¿Existe margen de seguridad para obligaciones corrientes e intereses?</x:v>
      </x:c>
      <x:c r="F14" s="278" t="str">
        <x:v>Efectivo; current ratio; quick ratio; cobertura de intereses; posición financiera neta</x:v>
      </x:c>
      <x:c r="G14" s="278" t="str">
        <x:v>Cierre anual + mensual</x:v>
      </x:c>
      <x:c r="H14" s="278" t="str">
        <x:v>Tooltip con umbral y fórmula</x:v>
      </x:c>
      <x:c r="I14" s="278" t="str">
        <x:v>El cierre de 2026 presenta ratios cómodos y posición financiera neta positiva.</x:v>
      </x:c>
      <x:c r="J14" s="278" t="str">
        <x:v>Definir caja mínima y asignar excedente.</x:v>
      </x:c>
      <x:c r="K14" s="278" t="str">
        <x:v>La foto de cierre debe contrastarse con la tendencia mensual.</x:v>
      </x:c>
      <x:c r="L14" s="283" t="str">
        <x:v>P1</x:v>
      </x:c>
    </x:row>
    <x:row r="15" ht="104" customHeight="1">
      <x:c r="A15" s="294" t="str">
        <x:v>V3.3</x:v>
      </x:c>
      <x:c r="B15" s="278" t="str">
        <x:v>03 · Liquidez</x:v>
      </x:c>
      <x:c r="C15" s="278" t="str">
        <x:v>Inversión y caja disponible después de CAPEX</x:v>
      </x:c>
      <x:c r="D15" s="278" t="str">
        <x:v>Columnas divergentes</x:v>
      </x:c>
      <x:c r="E15" s="278" t="str">
        <x:v>¿El CAPEX compromete el FCF o puede absorberse?</x:v>
      </x:c>
      <x:c r="F15" s="278" t="str">
        <x:v>CAPEX; CFO; FCF</x:v>
      </x:c>
      <x:c r="G15" s="278" t="str">
        <x:v>Mensual 2024–2026</x:v>
      </x:c>
      <x:c r="H15" s="278" t="str">
        <x:v>Selección del mes muestra efectivo final</x:v>
      </x:c>
      <x:c r="I15" s="278" t="str">
        <x:v>Sep-2026 registra 636 k€ de CAPEX y FCF -1,03 M€, manteniendo 7,88 M€ de efectivo.</x:v>
      </x:c>
      <x:c r="J15" s="278" t="str">
        <x:v>Aprobar, escalonar o posponer inversión.</x:v>
      </x:c>
      <x:c r="K15" s="278" t="str">
        <x:v>Sin ROI/payback no puede juzgarse el retorno del CAPEX.</x:v>
      </x:c>
      <x:c r="L15" s="283" t="str">
        <x:v>P2</x:v>
      </x:c>
    </x:row>
    <x:row r="16" ht="104" customHeight="1">
      <x:c r="A16" s="294" t="str">
        <x:v>V3.4</x:v>
      </x:c>
      <x:c r="B16" s="278" t="str">
        <x:v>03 · Liquidez</x:v>
      </x:c>
      <x:c r="C16" s="278" t="str">
        <x:v>Decisión de financiación e inversión</x:v>
      </x:c>
      <x:c r="D16" s="278" t="str">
        <x:v>Matriz de decisión</x:v>
      </x:c>
      <x:c r="E16" s="278" t="str">
        <x:v>¿Qué acción es coherente con la señal observada?</x:v>
      </x:c>
      <x:c r="F16" s="278" t="str">
        <x:v>Señal; umbral; acción; KPI; frecuencia</x:v>
      </x:c>
      <x:c r="G16" s="278" t="str">
        <x:v>Periodo seleccionado</x:v>
      </x:c>
      <x:c r="H16" s="278" t="str">
        <x:v>Enlace a metodología</x:v>
      </x:c>
      <x:c r="I16" s="278" t="str">
        <x:v>La deuda, la inversión y el exceso de caja se evalúan con criterios distintos.</x:v>
      </x:c>
      <x:c r="J16" s="278" t="str">
        <x:v>Financiar, amortizar, invertir o reservar.</x:v>
      </x:c>
      <x:c r="K16" s="278" t="str">
        <x:v>No optimizar un ratio de forma aislada.</x:v>
      </x:c>
      <x:c r="L16" s="283" t="str">
        <x:v>P2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23" hidden="0" customWidth="1"/>
    <x:col min="4" max="4" width="23" hidden="0" customWidth="1"/>
    <x:col min="5" max="5" width="23" hidden="0" customWidth="1"/>
    <x:col min="6" max="6" width="29" hidden="0" customWidth="1"/>
    <x:col min="7" max="7" width="40" hidden="0" customWidth="1"/>
    <x:col min="8" max="8" width="18" hidden="0" customWidth="1"/>
    <x:col min="9" max="9" width="26" hidden="0" customWidth="1"/>
    <x:col min="10" max="10" width="37" hidden="0" customWidth="1"/>
  </x:cols>
  <x:sheetData>
    <x:row r="1" ht="34" customHeight="1">
      <x:c r="A1" s="256" t="str">
        <x:v>Reglas de lectura y alertas</x:v>
      </x:c>
      <x:c r="B1" s="256" t="str">
        <x:v>Reglas de lectura y alertas</x:v>
      </x:c>
      <x:c r="C1" s="256" t="str">
        <x:v>Reglas de lectura y alertas</x:v>
      </x:c>
      <x:c r="D1" s="256" t="str">
        <x:v>Reglas de lectura y alertas</x:v>
      </x:c>
      <x:c r="E1" s="256" t="str">
        <x:v>Reglas de lectura y alertas</x:v>
      </x:c>
      <x:c r="F1" s="256" t="str">
        <x:v>Reglas de lectura y alertas</x:v>
      </x:c>
      <x:c r="G1" s="256" t="str">
        <x:v>Reglas de lectura y alertas</x:v>
      </x:c>
      <x:c r="H1" s="256" t="str">
        <x:v>Reglas de lectura y alertas</x:v>
      </x:c>
      <x:c r="I1" s="256" t="str">
        <x:v>Reglas de lectura y alertas</x:v>
      </x:c>
      <x:c r="J1" s="256" t="str">
        <x:v>Reglas de lectura y alertas</x:v>
      </x:c>
    </x:row>
    <x:row r="2" ht="30" customHeight="1">
      <x:c r="A2" s="260" t="str">
        <x:v>Umbrales orientativos para el escenario simulado. En una empresa real deben calibrarse con sector, estacionalidad, covenants y política financiera.</x:v>
      </x:c>
      <x:c r="B2" s="260" t="str">
        <x:v>Umbrales orientativos para el escenario simulado. En una empresa real deben calibrarse con sector, estacionalidad, covenants y política financiera.</x:v>
      </x:c>
      <x:c r="C2" s="260" t="str">
        <x:v>Umbrales orientativos para el escenario simulado. En una empresa real deben calibrarse con sector, estacionalidad, covenants y política financiera.</x:v>
      </x:c>
      <x:c r="D2" s="260" t="str">
        <x:v>Umbrales orientativos para el escenario simulado. En una empresa real deben calibrarse con sector, estacionalidad, covenants y política financiera.</x:v>
      </x:c>
      <x:c r="E2" s="260" t="str">
        <x:v>Umbrales orientativos para el escenario simulado. En una empresa real deben calibrarse con sector, estacionalidad, covenants y política financiera.</x:v>
      </x:c>
      <x:c r="F2" s="260" t="str">
        <x:v>Umbrales orientativos para el escenario simulado. En una empresa real deben calibrarse con sector, estacionalidad, covenants y política financiera.</x:v>
      </x:c>
      <x:c r="G2" s="260" t="str">
        <x:v>Umbrales orientativos para el escenario simulado. En una empresa real deben calibrarse con sector, estacionalidad, covenants y política financiera.</x:v>
      </x:c>
      <x:c r="H2" s="260" t="str">
        <x:v>Umbrales orientativos para el escenario simulado. En una empresa real deben calibrarse con sector, estacionalidad, covenants y política financiera.</x:v>
      </x:c>
      <x:c r="I2" s="260" t="str">
        <x:v>Umbrales orientativos para el escenario simulado. En una empresa real deben calibrarse con sector, estacionalidad, covenants y política financiera.</x:v>
      </x:c>
      <x:c r="J2" s="260" t="str">
        <x:v>Umbrales orientativos para el escenario simulado. En una empresa real deben calibrarse con sector, estacionalidad, covenants y política financiera.</x:v>
      </x:c>
    </x:row>
    <x:row r="4" ht="34" customHeight="1">
      <x:c r="A4" s="274" t="str">
        <x:v>KPI</x:v>
      </x:c>
      <x:c r="B4" s="274" t="str">
        <x:v>Sentido</x:v>
      </x:c>
      <x:c r="C4" s="274" t="str">
        <x:v>Verde</x:v>
      </x:c>
      <x:c r="D4" s="274" t="str">
        <x:v>Ámbar</x:v>
      </x:c>
      <x:c r="E4" s="274" t="str">
        <x:v>Rojo</x:v>
      </x:c>
      <x:c r="F4" s="274" t="str">
        <x:v>Uso visual</x:v>
      </x:c>
      <x:c r="G4" s="274" t="str">
        <x:v>Acción asociada</x:v>
      </x:c>
      <x:c r="H4" s="274" t="str">
        <x:v>Valor 2026</x:v>
      </x:c>
      <x:c r="I4" s="274" t="str">
        <x:v>Estado 2026</x:v>
      </x:c>
      <x:c r="J4" s="274" t="str">
        <x:v>Cautela</x:v>
      </x:c>
    </x:row>
    <x:row r="5" ht="74" customHeight="1">
      <x:c r="A5" s="278" t="str">
        <x:v>DSO</x:v>
      </x:c>
      <x:c r="B5" s="278" t="str">
        <x:v>Menor es mejor</x:v>
      </x:c>
      <x:c r="C5" s="278" t="str">
        <x:v>≤ 58 días</x:v>
      </x:c>
      <x:c r="D5" s="278" t="str">
        <x:v>&gt; 60 días</x:v>
      </x:c>
      <x:c r="E5" s="278" t="str">
        <x:v>&gt; 70 días</x:v>
      </x:c>
      <x:c r="F5" s="278" t="str">
        <x:v>Color de estado + número</x:v>
      </x:c>
      <x:c r="G5" s="278" t="str">
        <x:v>Revisar aging, disputas y cobros</x:v>
      </x:c>
      <x:c r="H5" s="295" t="n">
        <x:f>'Analysis_Dashboard'!D15</x:f>
        <x:v>52.816209749966625</x:v>
      </x:c>
      <x:c r="I5" s="278" t="str">
        <x:f>IF(H5&lt;=58,"Dentro de referencia",IF(H5&gt;70,"Alerta","Atención"))</x:f>
        <x:v>Dentro de referencia</x:v>
      </x:c>
      <x:c r="J5" s="278" t="str">
        <x:v>Aproximación agregada</x:v>
      </x:c>
    </x:row>
    <x:row r="6" ht="74" customHeight="1">
      <x:c r="A6" s="278" t="str">
        <x:v>DIO</x:v>
      </x:c>
      <x:c r="B6" s="278" t="str">
        <x:v>Menor es mejor</x:v>
      </x:c>
      <x:c r="C6" s="278" t="str">
        <x:v>≤ 55 días</x:v>
      </x:c>
      <x:c r="D6" s="278" t="str">
        <x:v>&gt; 55 días</x:v>
      </x:c>
      <x:c r="E6" s="278" t="str">
        <x:v>&gt; 65 días</x:v>
      </x:c>
      <x:c r="F6" s="278" t="str">
        <x:v>Color de estado + número</x:v>
      </x:c>
      <x:c r="G6" s="278" t="str">
        <x:v>Revisar rotación y compras</x:v>
      </x:c>
      <x:c r="H6" s="295" t="n">
        <x:f>'Analysis_Dashboard'!D16</x:f>
        <x:v>49.95613936150959</x:v>
      </x:c>
      <x:c r="I6" s="278" t="str">
        <x:f>IF(H6&lt;=55,"Dentro de referencia",IF(H6&gt;65,"Alerta","Atención"))</x:f>
        <x:v>Dentro de referencia</x:v>
      </x:c>
      <x:c r="J6" s="278" t="str">
        <x:v>Sin detalle de producto</x:v>
      </x:c>
    </x:row>
    <x:row r="7" ht="74" customHeight="1">
      <x:c r="A7" s="278" t="str">
        <x:v>DPO</x:v>
      </x:c>
      <x:c r="B7" s="278" t="str">
        <x:v>Mayor es mejor, sin dañar proveedores</x:v>
      </x:c>
      <x:c r="C7" s="278" t="str">
        <x:v>≥ 50 días</x:v>
      </x:c>
      <x:c r="D7" s="278" t="str">
        <x:v>&lt; 50 días</x:v>
      </x:c>
      <x:c r="E7" s="278" t="str">
        <x:v>&lt; 45 días</x:v>
      </x:c>
      <x:c r="F7" s="278" t="str">
        <x:v>Color de estado + número</x:v>
      </x:c>
      <x:c r="G7" s="278" t="str">
        <x:v>Revisar términos y calendario de pagos</x:v>
      </x:c>
      <x:c r="H7" s="295" t="n">
        <x:f>'Analysis_Dashboard'!D17</x:f>
        <x:v>50.93385698660974</x:v>
      </x:c>
      <x:c r="I7" s="278" t="str">
        <x:f>IF(H7&gt;=50,"Dentro de referencia",IF(H7&lt;45,"Alerta","Atención"))</x:f>
        <x:v>Dentro de referencia</x:v>
      </x:c>
      <x:c r="J7" s="278" t="str">
        <x:v>No maximizar de forma aislada</x:v>
      </x:c>
    </x:row>
    <x:row r="8" ht="74" customHeight="1">
      <x:c r="A8" s="278" t="str">
        <x:v>CCC</x:v>
      </x:c>
      <x:c r="B8" s="278" t="str">
        <x:v>Menor es mejor</x:v>
      </x:c>
      <x:c r="C8" s="278" t="str">
        <x:v>≤ 65 días</x:v>
      </x:c>
      <x:c r="D8" s="278" t="str">
        <x:v>&gt; 65 días</x:v>
      </x:c>
      <x:c r="E8" s="278" t="str">
        <x:v>&gt; 80 días</x:v>
      </x:c>
      <x:c r="F8" s="278" t="str">
        <x:v>Badge junto a la tendencia</x:v>
      </x:c>
      <x:c r="G8" s="278" t="str">
        <x:v>Plan conjunto de circulante</x:v>
      </x:c>
      <x:c r="H8" s="295" t="n">
        <x:f>'Analysis_Dashboard'!D18</x:f>
        <x:v>51.83849212486648</x:v>
      </x:c>
      <x:c r="I8" s="278" t="str">
        <x:f>IF(H8&lt;=65,"Dentro de referencia",IF(H8&gt;80,"Alerta","Atención"))</x:f>
        <x:v>Dentro de referencia</x:v>
      </x:c>
      <x:c r="J8" s="278" t="str">
        <x:v>Depende del sector</x:v>
      </x:c>
    </x:row>
    <x:row r="9" ht="74" customHeight="1">
      <x:c r="A9" s="278" t="str">
        <x:v>CFO / EBITDA</x:v>
      </x:c>
      <x:c r="B9" s="278" t="str">
        <x:v>Mayor es mejor</x:v>
      </x:c>
      <x:c r="C9" s="278" t="str">
        <x:v>≥ 60%</x:v>
      </x:c>
      <x:c r="D9" s="278" t="str">
        <x:v>&lt; 60%</x:v>
      </x:c>
      <x:c r="E9" s="278" t="str">
        <x:v>&lt; 40%</x:v>
      </x:c>
      <x:c r="F9" s="278" t="str">
        <x:v>Badge en KPI card</x:v>
      </x:c>
      <x:c r="G9" s="278" t="str">
        <x:v>Explicar la conversión y sus drivers</x:v>
      </x:c>
      <x:c r="H9" s="296" t="n">
        <x:f>'Analysis_Dashboard'!D12</x:f>
        <x:v>0.8080417672839606</x:v>
      </x:c>
      <x:c r="I9" s="278" t="str">
        <x:f>IF(H9&gt;=0.6,"Dentro de referencia",IF(H9&lt;0.4,"Alerta","Atención"))</x:f>
        <x:v>Dentro de referencia</x:v>
      </x:c>
      <x:c r="J9" s="278" t="str">
        <x:v>Revisar efecto de impuestos y estacionalidad</x:v>
      </x:c>
    </x:row>
    <x:row r="10" ht="74" customHeight="1">
      <x:c r="A10" s="278" t="str">
        <x:v>Free Cash Flow</x:v>
      </x:c>
      <x:c r="B10" s="278" t="str">
        <x:v>Positivo y sostenible</x:v>
      </x:c>
      <x:c r="C10" s="278" t="str">
        <x:v>&gt; 0</x:v>
      </x:c>
      <x:c r="D10" s="278" t="str">
        <x:v>1 mes negativo</x:v>
      </x:c>
      <x:c r="E10" s="278" t="str">
        <x:v>2 meses negativos consecutivos</x:v>
      </x:c>
      <x:c r="F10" s="278" t="str">
        <x:v>Color solo si cumple condición</x:v>
      </x:c>
      <x:c r="G10" s="278" t="str">
        <x:v>Separar inversión deliberada de deterioro</x:v>
      </x:c>
      <x:c r="H10" s="297" t="n">
        <x:f>'Analysis_Dashboard'!D10</x:f>
        <x:v>4029154</x:v>
      </x:c>
      <x:c r="I10" s="278" t="str">
        <x:f>IF(H10&gt;=0,"Positivo","Revisar detalle mensual")</x:f>
        <x:v>Positivo</x:v>
      </x:c>
      <x:c r="J10" s="278" t="str">
        <x:v>El anual no evalúa consecutividad</x:v>
      </x:c>
    </x:row>
    <x:row r="11" ht="74" customHeight="1">
      <x:c r="A11" s="278" t="str">
        <x:v>Efectivo</x:v>
      </x:c>
      <x:c r="B11" s="278" t="str">
        <x:v>Por encima de colchón mínimo</x:v>
      </x:c>
      <x:c r="C11" s="278" t="str">
        <x:v>≥ 2,5 M€</x:v>
      </x:c>
      <x:c r="D11" s="278" t="str">
        <x:v>&lt; 2,5 M€</x:v>
      </x:c>
      <x:c r="E11" s="278" t="str">
        <x:v>&lt; 2,0 M€</x:v>
      </x:c>
      <x:c r="F11" s="278" t="str">
        <x:v>Badge + línea de referencia</x:v>
      </x:c>
      <x:c r="G11" s="278" t="str">
        <x:v>Activar forecast y plan de liquidez</x:v>
      </x:c>
      <x:c r="H11" s="297" t="n">
        <x:f>'Analysis_Dashboard'!D11</x:f>
        <x:v>8049522</x:v>
      </x:c>
      <x:c r="I11" s="278" t="str">
        <x:f>IF(H11&gt;=2500000,"Dentro de referencia",IF(H11&lt;2000000,"Alerta","Atención"))</x:f>
        <x:v>Dentro de referencia</x:v>
      </x:c>
      <x:c r="J11" s="278" t="str">
        <x:v>Mínimo simulado</x:v>
      </x:c>
    </x:row>
    <x:row r="12" ht="74" customHeight="1">
      <x:c r="A12" s="278" t="str">
        <x:v>Current ratio</x:v>
      </x:c>
      <x:c r="B12" s="278" t="str">
        <x:v>Mayor es mejor</x:v>
      </x:c>
      <x:c r="C12" s="278" t="str">
        <x:v>≥ 1,5x</x:v>
      </x:c>
      <x:c r="D12" s="278" t="str">
        <x:v>&lt; 1,5x</x:v>
      </x:c>
      <x:c r="E12" s="278" t="str">
        <x:v>&lt; 1,2x</x:v>
      </x:c>
      <x:c r="F12" s="278" t="str">
        <x:v>Estado, no velocímetro</x:v>
      </x:c>
      <x:c r="G12" s="278" t="str">
        <x:v>Revisar activos y pasivos corrientes</x:v>
      </x:c>
      <x:c r="H12" s="298" t="n">
        <x:f>'Analysis_Dashboard'!D20</x:f>
        <x:v>2.95019429194634</x:v>
      </x:c>
      <x:c r="I12" s="278" t="str">
        <x:f>IF(H12&gt;=1.5,"Dentro de referencia",IF(H12&lt;1.2,"Alerta","Atención"))</x:f>
        <x:v>Dentro de referencia</x:v>
      </x:c>
      <x:c r="J12" s="278" t="str">
        <x:v>No mide timing diario</x:v>
      </x:c>
    </x:row>
    <x:row r="13" ht="74" customHeight="1">
      <x:c r="A13" s="278" t="str">
        <x:v>Quick ratio</x:v>
      </x:c>
      <x:c r="B13" s="278" t="str">
        <x:v>Mayor es mejor</x:v>
      </x:c>
      <x:c r="C13" s="278" t="str">
        <x:v>≥ 1,2x</x:v>
      </x:c>
      <x:c r="D13" s="278" t="str">
        <x:v>&lt; 1,2x</x:v>
      </x:c>
      <x:c r="E13" s="278" t="str">
        <x:v>&lt; 1,0x</x:v>
      </x:c>
      <x:c r="F13" s="278" t="str">
        <x:v>Estado, no velocímetro</x:v>
      </x:c>
      <x:c r="G13" s="278" t="str">
        <x:v>Revisar liquidez sin inventario</x:v>
      </x:c>
      <x:c r="H13" s="298" t="n">
        <x:f>'Analysis_Dashboard'!D21</x:f>
        <x:v>2.226793701946825</x:v>
      </x:c>
      <x:c r="I13" s="278" t="str">
        <x:f>IF(H13&gt;=1.2,"Dentro de referencia",IF(H13&lt;1,"Alerta","Atención"))</x:f>
        <x:v>Dentro de referencia</x:v>
      </x:c>
      <x:c r="J13" s="278" t="str">
        <x:v>Consolidado</x:v>
      </x:c>
    </x:row>
    <x:row r="14" ht="74" customHeight="1">
      <x:c r="A14" s="278" t="str">
        <x:v>Cobertura de intereses</x:v>
      </x:c>
      <x:c r="B14" s="278" t="str">
        <x:v>Mayor es mejor</x:v>
      </x:c>
      <x:c r="C14" s="278" t="str">
        <x:v>≥ 5x</x:v>
      </x:c>
      <x:c r="D14" s="278" t="str">
        <x:v>&lt; 5x</x:v>
      </x:c>
      <x:c r="E14" s="278" t="str">
        <x:v>&lt; 3x</x:v>
      </x:c>
      <x:c r="F14" s="278" t="str">
        <x:v>Estado junto a la cifra</x:v>
      </x:c>
      <x:c r="G14" s="278" t="str">
        <x:v>Revisar coste y servicio de deuda</x:v>
      </x:c>
      <x:c r="H14" s="298" t="n">
        <x:f>'Analysis_Dashboard'!D22</x:f>
        <x:v>11.788805815160956</x:v>
      </x:c>
      <x:c r="I14" s="278" t="str">
        <x:f>IF(H14&gt;=5,"Dentro de referencia",IF(H14&lt;3,"Alerta","Atención"))</x:f>
        <x:v>Dentro de referencia</x:v>
      </x:c>
      <x:c r="J14" s="278" t="str">
        <x:v>EBIT / intereses</x:v>
      </x:c>
    </x:row>
    <x:row r="15" ht="74" customHeight="1">
      <x:c r="A15" s="278" t="str">
        <x:v>Posición financiera neta</x:v>
      </x:c>
      <x:c r="B15" s="278" t="str">
        <x:v>Contextual</x:v>
      </x:c>
      <x:c r="C15" s="278" t="str">
        <x:v>Positiva tras colchón</x:v>
      </x:c>
      <x:c r="D15" s="278" t="str">
        <x:v>Negativa pero estable</x:v>
      </x:c>
      <x:c r="E15" s="278" t="str">
        <x:v>Negativa y deteriorándose</x:v>
      </x:c>
      <x:c r="F15" s="278" t="str">
        <x:v>Tendencia + explicación</x:v>
      </x:c>
      <x:c r="G15" s="278" t="str">
        <x:v>Evaluar deuda, inversión y reserva</x:v>
      </x:c>
      <x:c r="H15" s="297" t="n">
        <x:f>'Analysis_Dashboard'!D19</x:f>
        <x:v>2599522</x:v>
      </x:c>
      <x:c r="I15" s="278" t="str">
        <x:f>IF(H15&gt;=0,"Positiva","Requiere contexto")</x:f>
        <x:v>Positiva</x:v>
      </x:c>
      <x:c r="J15" s="278" t="str">
        <x:v>Una posición negativa no es automáticamente mala</x:v>
      </x:c>
    </x:row>
    <x:row r="18" ht="26" customHeight="1">
      <x:c r="A18" s="262" t="str">
        <x:v>Semántica de color</x:v>
      </x:c>
      <x:c r="B18" s="262" t="str">
        <x:v>Semántica de color</x:v>
      </x:c>
      <x:c r="C18" s="262" t="str">
        <x:v>Semántica de color</x:v>
      </x:c>
      <x:c r="D18" s="262" t="str">
        <x:v>Semántica de color</x:v>
      </x:c>
      <x:c r="E18" s="262" t="str">
        <x:v>Semántica de color</x:v>
      </x:c>
      <x:c r="F18" s="262" t="str">
        <x:v>Semántica de color</x:v>
      </x:c>
      <x:c r="G18" s="262" t="str">
        <x:v>Semántica de color</x:v>
      </x:c>
      <x:c r="H18" s="262" t="str">
        <x:v>Semántica de color</x:v>
      </x:c>
      <x:c r="I18" s="262" t="str">
        <x:v>Semántica de color</x:v>
      </x:c>
      <x:c r="J18" s="262" t="str">
        <x:v>Semántica de color</x:v>
      </x:c>
    </x:row>
    <x:row r="20" ht="42" customHeight="1">
      <x:c r="A20" s="300" t="str">
        <x:v>Azul petróleo</x:v>
      </x:c>
      <x:c r="B20" s="278" t="str">
        <x:v>Información principal, títulos y series neutrales</x:v>
      </x:c>
      <x:c r="C20" s="278" t="str">
        <x:v>No implica resultado positivo o negativo</x:v>
      </x:c>
    </x:row>
    <x:row r="21" ht="42" customHeight="1">
      <x:c r="A21" s="301" t="str">
        <x:v>Turquesa</x:v>
      </x:c>
      <x:c r="B21" s="278" t="str">
        <x:v>Interacción, selección y referencia informativa</x:v>
      </x:c>
      <x:c r="C21" s="278" t="str">
        <x:v>No usar para declarar éxito sin contexto</x:v>
      </x:c>
    </x:row>
    <x:row r="22" ht="42" customHeight="1">
      <x:c r="A22" s="302" t="str">
        <x:v>Verde</x:v>
      </x:c>
      <x:c r="B22" s="278" t="str">
        <x:v>Situación dentro de referencia o mejora comprobada</x:v>
      </x:c>
      <x:c r="C22" s="278" t="str">
        <x:v>Siempre acompañado de texto o icono</x:v>
      </x:c>
    </x:row>
    <x:row r="23" ht="42" customHeight="1">
      <x:c r="A23" s="303" t="str">
        <x:v>Ámbar</x:v>
      </x:c>
      <x:c r="B23" s="278" t="str">
        <x:v>Atención o necesidad de revisar</x:v>
      </x:c>
      <x:c r="C23" s="278" t="str">
        <x:v>No significa necesariamente un problema</x:v>
      </x:c>
    </x:row>
    <x:row r="24" ht="42" customHeight="1">
      <x:c r="A24" s="304" t="str">
        <x:v>Rojo apagado</x:v>
      </x:c>
      <x:c r="B24" s="278" t="str">
        <x:v>Alerta real según regla definida</x:v>
      </x:c>
      <x:c r="C24" s="278" t="str">
        <x:v>Nunca usar solo porque una cifra tenga signo negativo</x:v>
      </x:c>
    </x:row>
  </x:sheetData>
  <x:mergeCells>
    <x:mergeCell ref="A1:J1"/>
    <x:mergeCell ref="A2:J2"/>
    <x:mergeCell ref="A18:J18"/>
  </x:mergeCells>
  <x:conditionalFormatting sqref="I5:I15">
    <x:cfRule type="expression" dxfId="8" priority="1">
      <x:formula>I5="Dentro de referencia"</x:formula>
    </x:cfRule>
    <x:cfRule type="expression" dxfId="9" priority="2">
      <x:formula>I5="Positivo"</x:formula>
    </x:cfRule>
    <x:cfRule type="expression" dxfId="10" priority="3">
      <x:formula>I5="Positiva"</x:formula>
    </x:cfRule>
    <x:cfRule type="expression" dxfId="11" priority="4">
      <x:formula>I5="Atención"</x:formula>
    </x:cfRule>
    <x:cfRule type="expression" dxfId="12" priority="5">
      <x:formula>I5="Alerta"</x:formula>
    </x:cfRule>
    <x:cfRule type="expression" dxfId="13" priority="6">
      <x:formula>I5="Revisar detalle mensual"</x:formula>
    </x:cfRule>
    <x:cfRule type="expression" dxfId="14" priority="7">
      <x:formula>I5="Requiere contexto"</x:formula>
    </x:cfRule>
    <x:cfRule type="expression" dxfId="15" priority="8">
      <x:formula>I5="Dentro de referencia"</x:formula>
    </x:cfRule>
    <x:cfRule type="expression" dxfId="16" priority="9">
      <x:formula>I5="Positivo"</x:formula>
    </x:cfRule>
    <x:cfRule type="expression" dxfId="17" priority="10">
      <x:formula>I5="Positiva"</x:formula>
    </x:cfRule>
    <x:cfRule type="expression" dxfId="18" priority="11">
      <x:formula>I5="Atención"</x:formula>
    </x:cfRule>
    <x:cfRule type="expression" dxfId="19" priority="12">
      <x:formula>I5="Alerta"</x:formula>
    </x:cfRule>
    <x:cfRule type="expression" dxfId="20" priority="13">
      <x:formula>I5="Revisar detalle mensual"</x:formula>
    </x:cfRule>
    <x:cfRule type="expression" dxfId="21" priority="14">
      <x:formula>I5="Requiere contexto"</x:formula>
    </x:cfRule>
  </x:conditionalFormatting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307" t="str">
        <x:v>01 · Resumen ejecutivo</x:v>
      </x:c>
      <x:c r="B1" s="307" t="str">
        <x:v>01 · Resumen ejecutivo</x:v>
      </x:c>
      <x:c r="C1" s="307" t="str">
        <x:v>01 · Resumen ejecutivo</x:v>
      </x:c>
      <x:c r="D1" s="307" t="str">
        <x:v>01 · Resumen ejecutivo</x:v>
      </x:c>
      <x:c r="E1" s="307" t="str">
        <x:v>01 · Resumen ejecutivo</x:v>
      </x:c>
      <x:c r="F1" s="307" t="str">
        <x:v>01 · Resumen ejecutivo</x:v>
      </x:c>
      <x:c r="G1" s="307" t="str">
        <x:v>01 · Resumen ejecutivo</x:v>
      </x:c>
      <x:c r="H1" s="307" t="str">
        <x:v>01 · Resumen ejecutivo</x:v>
      </x:c>
      <x:c r="I1" s="307" t="str">
        <x:v>01 · Resumen ejecutivo</x:v>
      </x:c>
      <x:c r="J1" s="307" t="str">
        <x:v>01 · Resumen ejecutivo</x:v>
      </x:c>
      <x:c r="K1" s="307" t="str">
        <x:v>01 · Resumen ejecutivo</x:v>
      </x:c>
      <x:c r="L1" s="307" t="str">
        <x:v>01 · Resumen ejecutivo</x:v>
      </x:c>
    </x:row>
    <x:row r="2" ht="28" customHeight="1">
      <x:c r="A2" s="310" t="str">
        <x:v>¿La rentabilidad se convierte en caja y la liquidez es suficiente?</x:v>
      </x:c>
      <x:c r="B2" s="310" t="str">
        <x:v>¿La rentabilidad se convierte en caja y la liquidez es suficiente?</x:v>
      </x:c>
      <x:c r="C2" s="310" t="str">
        <x:v>¿La rentabilidad se convierte en caja y la liquidez es suficiente?</x:v>
      </x:c>
      <x:c r="D2" s="310" t="str">
        <x:v>¿La rentabilidad se convierte en caja y la liquidez es suficiente?</x:v>
      </x:c>
      <x:c r="E2" s="310" t="str">
        <x:v>¿La rentabilidad se convierte en caja y la liquidez es suficiente?</x:v>
      </x:c>
      <x:c r="F2" s="310" t="str">
        <x:v>¿La rentabilidad se convierte en caja y la liquidez es suficiente?</x:v>
      </x:c>
      <x:c r="G2" s="310" t="str">
        <x:v>¿La rentabilidad se convierte en caja y la liquidez es suficiente?</x:v>
      </x:c>
      <x:c r="H2" s="310" t="str">
        <x:v>¿La rentabilidad se convierte en caja y la liquidez es suficiente?</x:v>
      </x:c>
      <x:c r="I2" s="310" t="str">
        <x:v>¿La rentabilidad se convierte en caja y la liquidez es suficiente?</x:v>
      </x:c>
      <x:c r="J2" s="310" t="str">
        <x:v>¿La rentabilidad se convierte en caja y la liquidez es suficiente?</x:v>
      </x:c>
      <x:c r="K2" s="310" t="str">
        <x:v>¿La rentabilidad se convierte en caja y la liquidez es suficiente?</x:v>
      </x:c>
      <x:c r="L2" s="310" t="str">
        <x:v>¿La rentabilidad se convierte en caja y la liquidez es suficiente?</x:v>
      </x:c>
    </x:row>
    <x:row r="3">
      <x:c r="A3" s="305"/>
      <x:c r="B3" s="305"/>
      <x:c r="C3" s="305"/>
      <x:c r="D3" s="305"/>
      <x:c r="E3" s="305"/>
      <x:c r="F3" s="305"/>
      <x:c r="G3" s="305"/>
      <x:c r="H3" s="305"/>
      <x:c r="I3" s="305"/>
      <x:c r="J3" s="305"/>
      <x:c r="K3" s="305"/>
      <x:c r="L3" s="305"/>
    </x:row>
    <x:row r="4" ht="26" customHeight="1">
      <x:c r="A4" s="312" t="str">
        <x:v>Periodo: 2026 LTM  ▾</x:v>
      </x:c>
      <x:c r="B4" s="312" t="str">
        <x:v>Periodo: 2026 LTM  ▾</x:v>
      </x:c>
      <x:c r="C4" s="312" t="str">
        <x:v>Periodo: 2026 LTM  ▾</x:v>
      </x:c>
      <x:c r="D4" s="312" t="str">
        <x:v>Periodo: 2026 LTM  ▾</x:v>
      </x:c>
      <x:c r="E4" s="312" t="str">
        <x:v>Comparación: 2025  ▾</x:v>
      </x:c>
      <x:c r="F4" s="312" t="str">
        <x:v>Comparación: 2025  ▾</x:v>
      </x:c>
      <x:c r="G4" s="312" t="str">
        <x:v>Comparación: 2025  ▾</x:v>
      </x:c>
      <x:c r="H4" s="312" t="str">
        <x:v>Comparación: 2025  ▾</x:v>
      </x:c>
      <x:c r="I4" s="312" t="str">
        <x:v>Mensual / Anual</x:v>
      </x:c>
      <x:c r="J4" s="312" t="str">
        <x:v>Mensual / Anual</x:v>
      </x:c>
      <x:c r="K4" s="312" t="str">
        <x:v>Restablecer</x:v>
      </x:c>
      <x:c r="L4" s="312" t="str">
        <x:v>Restablecer</x:v>
      </x:c>
    </x:row>
    <x:row r="5">
      <x:c r="A5" s="305"/>
      <x:c r="B5" s="305"/>
      <x:c r="C5" s="305"/>
      <x:c r="D5" s="305"/>
      <x:c r="E5" s="305"/>
      <x:c r="F5" s="305"/>
      <x:c r="G5" s="305"/>
      <x:c r="H5" s="305"/>
      <x:c r="I5" s="305"/>
      <x:c r="J5" s="305"/>
      <x:c r="K5" s="305"/>
      <x:c r="L5" s="305"/>
    </x:row>
    <x:row r="6">
      <x:c r="A6" s="315" t="str">
        <x:v>Ingresos LTM</x:v>
      </x:c>
      <x:c r="B6" s="315" t="str">
        <x:v>Ingresos LTM</x:v>
      </x:c>
      <x:c r="C6" s="315" t="str">
        <x:v>Ingresos LTM</x:v>
      </x:c>
      <x:c r="D6" s="315" t="str">
        <x:v>Margen EBITDA</x:v>
      </x:c>
      <x:c r="E6" s="315" t="str">
        <x:v>Margen EBITDA</x:v>
      </x:c>
      <x:c r="F6" s="315" t="str">
        <x:v>Margen EBITDA</x:v>
      </x:c>
      <x:c r="G6" s="315" t="str">
        <x:v>Cash flow operativo</x:v>
      </x:c>
      <x:c r="H6" s="315" t="str">
        <x:v>Cash flow operativo</x:v>
      </x:c>
      <x:c r="I6" s="315" t="str">
        <x:v>Cash flow operativo</x:v>
      </x:c>
      <x:c r="J6" s="315" t="str">
        <x:v>Free cash flow</x:v>
      </x:c>
      <x:c r="K6" s="315" t="str">
        <x:v>Free cash flow</x:v>
      </x:c>
      <x:c r="L6" s="315" t="str">
        <x:v>Free cash flow</x:v>
      </x:c>
    </x:row>
    <x:row r="7">
      <x:c r="A7" s="318" t="str">
        <x:v>42,97 M€</x:v>
      </x:c>
      <x:c r="B7" s="318" t="str">
        <x:v>42,97 M€</x:v>
      </x:c>
      <x:c r="C7" s="318" t="str">
        <x:v>42,97 M€</x:v>
      </x:c>
      <x:c r="D7" s="318" t="str">
        <x:v>17,8%</x:v>
      </x:c>
      <x:c r="E7" s="318" t="str">
        <x:v>17,8%</x:v>
      </x:c>
      <x:c r="F7" s="318" t="str">
        <x:v>17,8%</x:v>
      </x:c>
      <x:c r="G7" s="318" t="str">
        <x:v>6,17 M€</x:v>
      </x:c>
      <x:c r="H7" s="318" t="str">
        <x:v>6,17 M€</x:v>
      </x:c>
      <x:c r="I7" s="318" t="str">
        <x:v>6,17 M€</x:v>
      </x:c>
      <x:c r="J7" s="318" t="str">
        <x:v>4,03 M€</x:v>
      </x:c>
      <x:c r="K7" s="318" t="str">
        <x:v>4,03 M€</x:v>
      </x:c>
      <x:c r="L7" s="318" t="str">
        <x:v>4,03 M€</x:v>
      </x:c>
    </x:row>
    <x:row r="8">
      <x:c r="A8" s="318" t="str">
        <x:v>42,97 M€</x:v>
      </x:c>
      <x:c r="B8" s="318" t="str">
        <x:v>42,97 M€</x:v>
      </x:c>
      <x:c r="C8" s="318" t="str">
        <x:v>42,97 M€</x:v>
      </x:c>
      <x:c r="D8" s="318" t="str">
        <x:v>17,8%</x:v>
      </x:c>
      <x:c r="E8" s="318" t="str">
        <x:v>17,8%</x:v>
      </x:c>
      <x:c r="F8" s="318" t="str">
        <x:v>17,8%</x:v>
      </x:c>
      <x:c r="G8" s="318" t="str">
        <x:v>6,17 M€</x:v>
      </x:c>
      <x:c r="H8" s="318" t="str">
        <x:v>6,17 M€</x:v>
      </x:c>
      <x:c r="I8" s="318" t="str">
        <x:v>6,17 M€</x:v>
      </x:c>
      <x:c r="J8" s="318" t="str">
        <x:v>4,03 M€</x:v>
      </x:c>
      <x:c r="K8" s="318" t="str">
        <x:v>4,03 M€</x:v>
      </x:c>
      <x:c r="L8" s="318" t="str">
        <x:v>4,03 M€</x:v>
      </x:c>
    </x:row>
    <x:row r="9">
      <x:c r="A9" s="322" t="str">
        <x:v>+10,0% vs. 2025</x:v>
      </x:c>
      <x:c r="B9" s="322" t="str">
        <x:v>+10,0% vs. 2025</x:v>
      </x:c>
      <x:c r="C9" s="322" t="str">
        <x:v>+10,0% vs. 2025</x:v>
      </x:c>
      <x:c r="D9" s="322" t="str">
        <x:v>Mejora vs. 2025</x:v>
      </x:c>
      <x:c r="E9" s="322" t="str">
        <x:v>Mejora vs. 2025</x:v>
      </x:c>
      <x:c r="F9" s="322" t="str">
        <x:v>Mejora vs. 2025</x:v>
      </x:c>
      <x:c r="G9" s="322" t="str">
        <x:v>80,8% del EBITDA</x:v>
      </x:c>
      <x:c r="H9" s="322" t="str">
        <x:v>80,8% del EBITDA</x:v>
      </x:c>
      <x:c r="I9" s="322" t="str">
        <x:v>80,8% del EBITDA</x:v>
      </x:c>
      <x:c r="J9" s="322" t="str">
        <x:v>Tras inversión</x:v>
      </x:c>
      <x:c r="K9" s="322" t="str">
        <x:v>Tras inversión</x:v>
      </x:c>
      <x:c r="L9" s="322" t="str">
        <x:v>Tras inversión</x:v>
      </x:c>
    </x:row>
    <x:row r="10">
      <x:c r="A10" s="305"/>
      <x:c r="B10" s="305"/>
      <x:c r="C10" s="305"/>
      <x:c r="D10" s="305"/>
      <x:c r="E10" s="305"/>
      <x:c r="F10" s="305"/>
      <x:c r="G10" s="305"/>
      <x:c r="H10" s="305"/>
      <x:c r="I10" s="305"/>
      <x:c r="J10" s="305"/>
      <x:c r="K10" s="305"/>
      <x:c r="L10" s="305"/>
    </x:row>
    <x:row r="11">
      <x:c r="A11" s="315" t="str">
        <x:v>Efectivo</x:v>
      </x:c>
      <x:c r="B11" s="315" t="str">
        <x:v>Efectivo</x:v>
      </x:c>
      <x:c r="C11" s="315" t="str">
        <x:v>Efectivo</x:v>
      </x:c>
      <x:c r="D11" s="315" t="str">
        <x:v>CFO / EBITDA</x:v>
      </x:c>
      <x:c r="E11" s="315" t="str">
        <x:v>CFO / EBITDA</x:v>
      </x:c>
      <x:c r="F11" s="315" t="str">
        <x:v>CFO / EBITDA</x:v>
      </x:c>
      <x:c r="G11" s="315" t="str">
        <x:v>CCC</x:v>
      </x:c>
      <x:c r="H11" s="315" t="str">
        <x:v>CCC</x:v>
      </x:c>
      <x:c r="I11" s="315" t="str">
        <x:v>CCC</x:v>
      </x:c>
      <x:c r="J11" s="315" t="str">
        <x:v>Posición financiera neta</x:v>
      </x:c>
      <x:c r="K11" s="315" t="str">
        <x:v>Posición financiera neta</x:v>
      </x:c>
      <x:c r="L11" s="315" t="str">
        <x:v>Posición financiera neta</x:v>
      </x:c>
    </x:row>
    <x:row r="12">
      <x:c r="A12" s="318" t="str">
        <x:v>8,05 M€</x:v>
      </x:c>
      <x:c r="B12" s="318" t="str">
        <x:v>8,05 M€</x:v>
      </x:c>
      <x:c r="C12" s="318" t="str">
        <x:v>8,05 M€</x:v>
      </x:c>
      <x:c r="D12" s="318" t="str">
        <x:v>80,8%</x:v>
      </x:c>
      <x:c r="E12" s="318" t="str">
        <x:v>80,8%</x:v>
      </x:c>
      <x:c r="F12" s="318" t="str">
        <x:v>80,8%</x:v>
      </x:c>
      <x:c r="G12" s="318" t="str">
        <x:v>Lectura anual</x:v>
      </x:c>
      <x:c r="H12" s="318" t="str">
        <x:v>Lectura anual</x:v>
      </x:c>
      <x:c r="I12" s="318" t="str">
        <x:v>Lectura anual</x:v>
      </x:c>
      <x:c r="J12" s="318" t="str">
        <x:v>+2,60 M€</x:v>
      </x:c>
      <x:c r="K12" s="318" t="str">
        <x:v>+2,60 M€</x:v>
      </x:c>
      <x:c r="L12" s="318" t="str">
        <x:v>+2,60 M€</x:v>
      </x:c>
    </x:row>
    <x:row r="13">
      <x:c r="A13" s="318" t="str">
        <x:v>8,05 M€</x:v>
      </x:c>
      <x:c r="B13" s="318" t="str">
        <x:v>8,05 M€</x:v>
      </x:c>
      <x:c r="C13" s="318" t="str">
        <x:v>8,05 M€</x:v>
      </x:c>
      <x:c r="D13" s="318" t="str">
        <x:v>80,8%</x:v>
      </x:c>
      <x:c r="E13" s="318" t="str">
        <x:v>80,8%</x:v>
      </x:c>
      <x:c r="F13" s="318" t="str">
        <x:v>80,8%</x:v>
      </x:c>
      <x:c r="G13" s="318" t="str">
        <x:v>Lectura anual</x:v>
      </x:c>
      <x:c r="H13" s="318" t="str">
        <x:v>Lectura anual</x:v>
      </x:c>
      <x:c r="I13" s="318" t="str">
        <x:v>Lectura anual</x:v>
      </x:c>
      <x:c r="J13" s="318" t="str">
        <x:v>+2,60 M€</x:v>
      </x:c>
      <x:c r="K13" s="318" t="str">
        <x:v>+2,60 M€</x:v>
      </x:c>
      <x:c r="L13" s="318" t="str">
        <x:v>+2,60 M€</x:v>
      </x:c>
    </x:row>
    <x:row r="14">
      <x:c r="A14" s="322" t="str">
        <x:v>Cierre 2026</x:v>
      </x:c>
      <x:c r="B14" s="322" t="str">
        <x:v>Cierre 2026</x:v>
      </x:c>
      <x:c r="C14" s="322" t="str">
        <x:v>Cierre 2026</x:v>
      </x:c>
      <x:c r="D14" s="322" t="str">
        <x:v>Conversión de caja</x:v>
      </x:c>
      <x:c r="E14" s="322" t="str">
        <x:v>Conversión de caja</x:v>
      </x:c>
      <x:c r="F14" s="322" t="str">
        <x:v>Conversión de caja</x:v>
      </x:c>
      <x:c r="G14" s="322" t="str">
        <x:v>Abrir detalle mensual</x:v>
      </x:c>
      <x:c r="H14" s="322" t="str">
        <x:v>Abrir detalle mensual</x:v>
      </x:c>
      <x:c r="I14" s="322" t="str">
        <x:v>Abrir detalle mensual</x:v>
      </x:c>
      <x:c r="J14" s="322" t="str">
        <x:v>Caja &gt; deuda + leases</x:v>
      </x:c>
      <x:c r="K14" s="322" t="str">
        <x:v>Caja &gt; deuda + leases</x:v>
      </x:c>
      <x:c r="L14" s="322" t="str">
        <x:v>Caja &gt; deuda + leases</x:v>
      </x:c>
    </x:row>
    <x:row r="15">
      <x:c r="A15" s="305"/>
      <x:c r="B15" s="305"/>
      <x:c r="C15" s="305"/>
      <x:c r="D15" s="305"/>
      <x:c r="E15" s="305"/>
      <x:c r="F15" s="305"/>
      <x:c r="G15" s="305"/>
      <x:c r="H15" s="305"/>
      <x:c r="I15" s="305"/>
      <x:c r="J15" s="305"/>
      <x:c r="K15" s="305"/>
      <x:c r="L15" s="305"/>
    </x:row>
    <x:row r="16">
      <x:c r="A16" s="326" t="str">
        <x:v>Beneficio y caja no cuentan siempre la misma historia</x:v>
      </x:c>
      <x:c r="B16" s="326" t="str">
        <x:v>Beneficio y caja no cuentan siempre la misma historia</x:v>
      </x:c>
      <x:c r="C16" s="326" t="str">
        <x:v>Beneficio y caja no cuentan siempre la misma historia</x:v>
      </x:c>
      <x:c r="D16" s="326" t="str">
        <x:v>Beneficio y caja no cuentan siempre la misma historia</x:v>
      </x:c>
      <x:c r="E16" s="326" t="str">
        <x:v>Beneficio y caja no cuentan siempre la misma historia</x:v>
      </x:c>
      <x:c r="F16" s="326" t="str">
        <x:v>Beneficio y caja no cuentan siempre la misma historia</x:v>
      </x:c>
      <x:c r="G16" s="326" t="str">
        <x:v>Beneficio y caja no cuentan siempre la misma historia</x:v>
      </x:c>
      <x:c r="H16" s="326" t="str">
        <x:v>Efectivo disponible frente a obligaciones financieras</x:v>
      </x:c>
      <x:c r="I16" s="326" t="str">
        <x:v>Efectivo disponible frente a obligaciones financieras</x:v>
      </x:c>
      <x:c r="J16" s="326" t="str">
        <x:v>Efectivo disponible frente a obligaciones financieras</x:v>
      </x:c>
      <x:c r="K16" s="326" t="str">
        <x:v>Efectivo disponible frente a obligaciones financieras</x:v>
      </x:c>
      <x:c r="L16" s="326" t="str">
        <x:v>Efectivo disponible frente a obligaciones financieras</x:v>
      </x:c>
    </x:row>
    <x:row r="17">
      <x:c r="A17" s="328" t="str">
        <x:v>[COLUMNAS AGRUPADAS]
EBITDA · Resultado neto · CFO · FCF
2024 · 2025 · 2026
Lectura: en 2025 el beneficio continúa positivo, pero la generación de caja se debilita.</x:v>
      </x:c>
      <x:c r="B17" s="328" t="str">
        <x:v>[COLUMNAS AGRUPADAS]
EBITDA · Resultado neto · CFO · FCF
2024 · 2025 · 2026
Lectura: en 2025 el beneficio continúa positivo, pero la generación de caja se debilita.</x:v>
      </x:c>
      <x:c r="C17" s="328" t="str">
        <x:v>[COLUMNAS AGRUPADAS]
EBITDA · Resultado neto · CFO · FCF
2024 · 2025 · 2026
Lectura: en 2025 el beneficio continúa positivo, pero la generación de caja se debilita.</x:v>
      </x:c>
      <x:c r="D17" s="328" t="str">
        <x:v>[COLUMNAS AGRUPADAS]
EBITDA · Resultado neto · CFO · FCF
2024 · 2025 · 2026
Lectura: en 2025 el beneficio continúa positivo, pero la generación de caja se debilita.</x:v>
      </x:c>
      <x:c r="E17" s="328" t="str">
        <x:v>[COLUMNAS AGRUPADAS]
EBITDA · Resultado neto · CFO · FCF
2024 · 2025 · 2026
Lectura: en 2025 el beneficio continúa positivo, pero la generación de caja se debilita.</x:v>
      </x:c>
      <x:c r="F17" s="328" t="str">
        <x:v>[COLUMNAS AGRUPADAS]
EBITDA · Resultado neto · CFO · FCF
2024 · 2025 · 2026
Lectura: en 2025 el beneficio continúa positivo, pero la generación de caja se debilita.</x:v>
      </x:c>
      <x:c r="G17" s="328" t="str">
        <x:v>[COLUMNAS AGRUPADAS]
EBITDA · Resultado neto · CFO · FCF
2024 · 2025 · 2026
Lectura: en 2025 el beneficio continúa positivo, pero la generación de caja se debilita.</x:v>
      </x:c>
      <x:c r="H17" s="328" t="str">
        <x:v>[DOS LÍNEAS]
Efectivo vs. deuda + leases
Mensual 2024–2026</x:v>
      </x:c>
      <x:c r="I17" s="328" t="str">
        <x:v>[DOS LÍNEAS]
Efectivo vs. deuda + leases
Mensual 2024–2026</x:v>
      </x:c>
      <x:c r="J17" s="328" t="str">
        <x:v>[DOS LÍNEAS]
Efectivo vs. deuda + leases
Mensual 2024–2026</x:v>
      </x:c>
      <x:c r="K17" s="328" t="str">
        <x:v>[DOS LÍNEAS]
Efectivo vs. deuda + leases
Mensual 2024–2026</x:v>
      </x:c>
      <x:c r="L17" s="328" t="str">
        <x:v>[DOS LÍNEAS]
Efectivo vs. deuda + leases
Mensual 2024–2026</x:v>
      </x:c>
    </x:row>
    <x:row r="18">
      <x:c r="A18" s="328" t="str">
        <x:v>[COLUMNAS AGRUPADAS]
EBITDA · Resultado neto · CFO · FCF
2024 · 2025 · 2026
Lectura: en 2025 el beneficio continúa positivo, pero la generación de caja se debilita.</x:v>
      </x:c>
      <x:c r="B18" s="328" t="str">
        <x:v>[COLUMNAS AGRUPADAS]
EBITDA · Resultado neto · CFO · FCF
2024 · 2025 · 2026
Lectura: en 2025 el beneficio continúa positivo, pero la generación de caja se debilita.</x:v>
      </x:c>
      <x:c r="C18" s="328" t="str">
        <x:v>[COLUMNAS AGRUPADAS]
EBITDA · Resultado neto · CFO · FCF
2024 · 2025 · 2026
Lectura: en 2025 el beneficio continúa positivo, pero la generación de caja se debilita.</x:v>
      </x:c>
      <x:c r="D18" s="328" t="str">
        <x:v>[COLUMNAS AGRUPADAS]
EBITDA · Resultado neto · CFO · FCF
2024 · 2025 · 2026
Lectura: en 2025 el beneficio continúa positivo, pero la generación de caja se debilita.</x:v>
      </x:c>
      <x:c r="E18" s="328" t="str">
        <x:v>[COLUMNAS AGRUPADAS]
EBITDA · Resultado neto · CFO · FCF
2024 · 2025 · 2026
Lectura: en 2025 el beneficio continúa positivo, pero la generación de caja se debilita.</x:v>
      </x:c>
      <x:c r="F18" s="328" t="str">
        <x:v>[COLUMNAS AGRUPADAS]
EBITDA · Resultado neto · CFO · FCF
2024 · 2025 · 2026
Lectura: en 2025 el beneficio continúa positivo, pero la generación de caja se debilita.</x:v>
      </x:c>
      <x:c r="G18" s="328" t="str">
        <x:v>[COLUMNAS AGRUPADAS]
EBITDA · Resultado neto · CFO · FCF
2024 · 2025 · 2026
Lectura: en 2025 el beneficio continúa positivo, pero la generación de caja se debilita.</x:v>
      </x:c>
      <x:c r="H18" s="328" t="str">
        <x:v>[DOS LÍNEAS]
Efectivo vs. deuda + leases
Mensual 2024–2026</x:v>
      </x:c>
      <x:c r="I18" s="328" t="str">
        <x:v>[DOS LÍNEAS]
Efectivo vs. deuda + leases
Mensual 2024–2026</x:v>
      </x:c>
      <x:c r="J18" s="328" t="str">
        <x:v>[DOS LÍNEAS]
Efectivo vs. deuda + leases
Mensual 2024–2026</x:v>
      </x:c>
      <x:c r="K18" s="328" t="str">
        <x:v>[DOS LÍNEAS]
Efectivo vs. deuda + leases
Mensual 2024–2026</x:v>
      </x:c>
      <x:c r="L18" s="328" t="str">
        <x:v>[DOS LÍNEAS]
Efectivo vs. deuda + leases
Mensual 2024–2026</x:v>
      </x:c>
    </x:row>
    <x:row r="19">
      <x:c r="A19" s="328" t="str">
        <x:v>[COLUMNAS AGRUPADAS]
EBITDA · Resultado neto · CFO · FCF
2024 · 2025 · 2026
Lectura: en 2025 el beneficio continúa positivo, pero la generación de caja se debilita.</x:v>
      </x:c>
      <x:c r="B19" s="328" t="str">
        <x:v>[COLUMNAS AGRUPADAS]
EBITDA · Resultado neto · CFO · FCF
2024 · 2025 · 2026
Lectura: en 2025 el beneficio continúa positivo, pero la generación de caja se debilita.</x:v>
      </x:c>
      <x:c r="C19" s="328" t="str">
        <x:v>[COLUMNAS AGRUPADAS]
EBITDA · Resultado neto · CFO · FCF
2024 · 2025 · 2026
Lectura: en 2025 el beneficio continúa positivo, pero la generación de caja se debilita.</x:v>
      </x:c>
      <x:c r="D19" s="328" t="str">
        <x:v>[COLUMNAS AGRUPADAS]
EBITDA · Resultado neto · CFO · FCF
2024 · 2025 · 2026
Lectura: en 2025 el beneficio continúa positivo, pero la generación de caja se debilita.</x:v>
      </x:c>
      <x:c r="E19" s="328" t="str">
        <x:v>[COLUMNAS AGRUPADAS]
EBITDA · Resultado neto · CFO · FCF
2024 · 2025 · 2026
Lectura: en 2025 el beneficio continúa positivo, pero la generación de caja se debilita.</x:v>
      </x:c>
      <x:c r="F19" s="328" t="str">
        <x:v>[COLUMNAS AGRUPADAS]
EBITDA · Resultado neto · CFO · FCF
2024 · 2025 · 2026
Lectura: en 2025 el beneficio continúa positivo, pero la generación de caja se debilita.</x:v>
      </x:c>
      <x:c r="G19" s="328" t="str">
        <x:v>[COLUMNAS AGRUPADAS]
EBITDA · Resultado neto · CFO · FCF
2024 · 2025 · 2026
Lectura: en 2025 el beneficio continúa positivo, pero la generación de caja se debilita.</x:v>
      </x:c>
      <x:c r="H19" s="328" t="str">
        <x:v>[DOS LÍNEAS]
Efectivo vs. deuda + leases
Mensual 2024–2026</x:v>
      </x:c>
      <x:c r="I19" s="328" t="str">
        <x:v>[DOS LÍNEAS]
Efectivo vs. deuda + leases
Mensual 2024–2026</x:v>
      </x:c>
      <x:c r="J19" s="328" t="str">
        <x:v>[DOS LÍNEAS]
Efectivo vs. deuda + leases
Mensual 2024–2026</x:v>
      </x:c>
      <x:c r="K19" s="328" t="str">
        <x:v>[DOS LÍNEAS]
Efectivo vs. deuda + leases
Mensual 2024–2026</x:v>
      </x:c>
      <x:c r="L19" s="328" t="str">
        <x:v>[DOS LÍNEAS]
Efectivo vs. deuda + leases
Mensual 2024–2026</x:v>
      </x:c>
    </x:row>
    <x:row r="20">
      <x:c r="A20" s="328" t="str">
        <x:v>[COLUMNAS AGRUPADAS]
EBITDA · Resultado neto · CFO · FCF
2024 · 2025 · 2026
Lectura: en 2025 el beneficio continúa positivo, pero la generación de caja se debilita.</x:v>
      </x:c>
      <x:c r="B20" s="328" t="str">
        <x:v>[COLUMNAS AGRUPADAS]
EBITDA · Resultado neto · CFO · FCF
2024 · 2025 · 2026
Lectura: en 2025 el beneficio continúa positivo, pero la generación de caja se debilita.</x:v>
      </x:c>
      <x:c r="C20" s="328" t="str">
        <x:v>[COLUMNAS AGRUPADAS]
EBITDA · Resultado neto · CFO · FCF
2024 · 2025 · 2026
Lectura: en 2025 el beneficio continúa positivo, pero la generación de caja se debilita.</x:v>
      </x:c>
      <x:c r="D20" s="328" t="str">
        <x:v>[COLUMNAS AGRUPADAS]
EBITDA · Resultado neto · CFO · FCF
2024 · 2025 · 2026
Lectura: en 2025 el beneficio continúa positivo, pero la generación de caja se debilita.</x:v>
      </x:c>
      <x:c r="E20" s="328" t="str">
        <x:v>[COLUMNAS AGRUPADAS]
EBITDA · Resultado neto · CFO · FCF
2024 · 2025 · 2026
Lectura: en 2025 el beneficio continúa positivo, pero la generación de caja se debilita.</x:v>
      </x:c>
      <x:c r="F20" s="328" t="str">
        <x:v>[COLUMNAS AGRUPADAS]
EBITDA · Resultado neto · CFO · FCF
2024 · 2025 · 2026
Lectura: en 2025 el beneficio continúa positivo, pero la generación de caja se debilita.</x:v>
      </x:c>
      <x:c r="G20" s="328" t="str">
        <x:v>[COLUMNAS AGRUPADAS]
EBITDA · Resultado neto · CFO · FCF
2024 · 2025 · 2026
Lectura: en 2025 el beneficio continúa positivo, pero la generación de caja se debilita.</x:v>
      </x:c>
      <x:c r="H20" s="328" t="str">
        <x:v>[DOS LÍNEAS]
Efectivo vs. deuda + leases
Mensual 2024–2026</x:v>
      </x:c>
      <x:c r="I20" s="328" t="str">
        <x:v>[DOS LÍNEAS]
Efectivo vs. deuda + leases
Mensual 2024–2026</x:v>
      </x:c>
      <x:c r="J20" s="328" t="str">
        <x:v>[DOS LÍNEAS]
Efectivo vs. deuda + leases
Mensual 2024–2026</x:v>
      </x:c>
      <x:c r="K20" s="328" t="str">
        <x:v>[DOS LÍNEAS]
Efectivo vs. deuda + leases
Mensual 2024–2026</x:v>
      </x:c>
      <x:c r="L20" s="328" t="str">
        <x:v>[DOS LÍNEAS]
Efectivo vs. deuda + leases
Mensual 2024–2026</x:v>
      </x:c>
    </x:row>
    <x:row r="21">
      <x:c r="A21" s="328" t="str">
        <x:v>[COLUMNAS AGRUPADAS]
EBITDA · Resultado neto · CFO · FCF
2024 · 2025 · 2026
Lectura: en 2025 el beneficio continúa positivo, pero la generación de caja se debilita.</x:v>
      </x:c>
      <x:c r="B21" s="328" t="str">
        <x:v>[COLUMNAS AGRUPADAS]
EBITDA · Resultado neto · CFO · FCF
2024 · 2025 · 2026
Lectura: en 2025 el beneficio continúa positivo, pero la generación de caja se debilita.</x:v>
      </x:c>
      <x:c r="C21" s="328" t="str">
        <x:v>[COLUMNAS AGRUPADAS]
EBITDA · Resultado neto · CFO · FCF
2024 · 2025 · 2026
Lectura: en 2025 el beneficio continúa positivo, pero la generación de caja se debilita.</x:v>
      </x:c>
      <x:c r="D21" s="328" t="str">
        <x:v>[COLUMNAS AGRUPADAS]
EBITDA · Resultado neto · CFO · FCF
2024 · 2025 · 2026
Lectura: en 2025 el beneficio continúa positivo, pero la generación de caja se debilita.</x:v>
      </x:c>
      <x:c r="E21" s="328" t="str">
        <x:v>[COLUMNAS AGRUPADAS]
EBITDA · Resultado neto · CFO · FCF
2024 · 2025 · 2026
Lectura: en 2025 el beneficio continúa positivo, pero la generación de caja se debilita.</x:v>
      </x:c>
      <x:c r="F21" s="328" t="str">
        <x:v>[COLUMNAS AGRUPADAS]
EBITDA · Resultado neto · CFO · FCF
2024 · 2025 · 2026
Lectura: en 2025 el beneficio continúa positivo, pero la generación de caja se debilita.</x:v>
      </x:c>
      <x:c r="G21" s="328" t="str">
        <x:v>[COLUMNAS AGRUPADAS]
EBITDA · Resultado neto · CFO · FCF
2024 · 2025 · 2026
Lectura: en 2025 el beneficio continúa positivo, pero la generación de caja se debilita.</x:v>
      </x:c>
      <x:c r="H21" s="328" t="str">
        <x:v>[DOS LÍNEAS]
Efectivo vs. deuda + leases
Mensual 2024–2026</x:v>
      </x:c>
      <x:c r="I21" s="328" t="str">
        <x:v>[DOS LÍNEAS]
Efectivo vs. deuda + leases
Mensual 2024–2026</x:v>
      </x:c>
      <x:c r="J21" s="328" t="str">
        <x:v>[DOS LÍNEAS]
Efectivo vs. deuda + leases
Mensual 2024–2026</x:v>
      </x:c>
      <x:c r="K21" s="328" t="str">
        <x:v>[DOS LÍNEAS]
Efectivo vs. deuda + leases
Mensual 2024–2026</x:v>
      </x:c>
      <x:c r="L21" s="328" t="str">
        <x:v>[DOS LÍNEAS]
Efectivo vs. deuda + leases
Mensual 2024–2026</x:v>
      </x:c>
    </x:row>
    <x:row r="22">
      <x:c r="A22" s="328" t="str">
        <x:v>[COLUMNAS AGRUPADAS]
EBITDA · Resultado neto · CFO · FCF
2024 · 2025 · 2026
Lectura: en 2025 el beneficio continúa positivo, pero la generación de caja se debilita.</x:v>
      </x:c>
      <x:c r="B22" s="328" t="str">
        <x:v>[COLUMNAS AGRUPADAS]
EBITDA · Resultado neto · CFO · FCF
2024 · 2025 · 2026
Lectura: en 2025 el beneficio continúa positivo, pero la generación de caja se debilita.</x:v>
      </x:c>
      <x:c r="C22" s="328" t="str">
        <x:v>[COLUMNAS AGRUPADAS]
EBITDA · Resultado neto · CFO · FCF
2024 · 2025 · 2026
Lectura: en 2025 el beneficio continúa positivo, pero la generación de caja se debilita.</x:v>
      </x:c>
      <x:c r="D22" s="328" t="str">
        <x:v>[COLUMNAS AGRUPADAS]
EBITDA · Resultado neto · CFO · FCF
2024 · 2025 · 2026
Lectura: en 2025 el beneficio continúa positivo, pero la generación de caja se debilita.</x:v>
      </x:c>
      <x:c r="E22" s="328" t="str">
        <x:v>[COLUMNAS AGRUPADAS]
EBITDA · Resultado neto · CFO · FCF
2024 · 2025 · 2026
Lectura: en 2025 el beneficio continúa positivo, pero la generación de caja se debilita.</x:v>
      </x:c>
      <x:c r="F22" s="328" t="str">
        <x:v>[COLUMNAS AGRUPADAS]
EBITDA · Resultado neto · CFO · FCF
2024 · 2025 · 2026
Lectura: en 2025 el beneficio continúa positivo, pero la generación de caja se debilita.</x:v>
      </x:c>
      <x:c r="G22" s="328" t="str">
        <x:v>[COLUMNAS AGRUPADAS]
EBITDA · Resultado neto · CFO · FCF
2024 · 2025 · 2026
Lectura: en 2025 el beneficio continúa positivo, pero la generación de caja se debilita.</x:v>
      </x:c>
      <x:c r="H22" s="305"/>
      <x:c r="I22" s="305"/>
      <x:c r="J22" s="305"/>
      <x:c r="K22" s="305"/>
      <x:c r="L22" s="305"/>
    </x:row>
    <x:row r="23">
      <x:c r="A23" s="328" t="str">
        <x:v>[COLUMNAS AGRUPADAS]
EBITDA · Resultado neto · CFO · FCF
2024 · 2025 · 2026
Lectura: en 2025 el beneficio continúa positivo, pero la generación de caja se debilita.</x:v>
      </x:c>
      <x:c r="B23" s="328" t="str">
        <x:v>[COLUMNAS AGRUPADAS]
EBITDA · Resultado neto · CFO · FCF
2024 · 2025 · 2026
Lectura: en 2025 el beneficio continúa positivo, pero la generación de caja se debilita.</x:v>
      </x:c>
      <x:c r="C23" s="328" t="str">
        <x:v>[COLUMNAS AGRUPADAS]
EBITDA · Resultado neto · CFO · FCF
2024 · 2025 · 2026
Lectura: en 2025 el beneficio continúa positivo, pero la generación de caja se debilita.</x:v>
      </x:c>
      <x:c r="D23" s="328" t="str">
        <x:v>[COLUMNAS AGRUPADAS]
EBITDA · Resultado neto · CFO · FCF
2024 · 2025 · 2026
Lectura: en 2025 el beneficio continúa positivo, pero la generación de caja se debilita.</x:v>
      </x:c>
      <x:c r="E23" s="328" t="str">
        <x:v>[COLUMNAS AGRUPADAS]
EBITDA · Resultado neto · CFO · FCF
2024 · 2025 · 2026
Lectura: en 2025 el beneficio continúa positivo, pero la generación de caja se debilita.</x:v>
      </x:c>
      <x:c r="F23" s="328" t="str">
        <x:v>[COLUMNAS AGRUPADAS]
EBITDA · Resultado neto · CFO · FCF
2024 · 2025 · 2026
Lectura: en 2025 el beneficio continúa positivo, pero la generación de caja se debilita.</x:v>
      </x:c>
      <x:c r="G23" s="328" t="str">
        <x:v>[COLUMNAS AGRUPADAS]
EBITDA · Resultado neto · CFO · FCF
2024 · 2025 · 2026
Lectura: en 2025 el beneficio continúa positivo, pero la generación de caja se debilita.</x:v>
      </x:c>
      <x:c r="H23" s="332" t="str">
        <x:v>Hallazgo principal</x:v>
      </x:c>
      <x:c r="I23" s="332" t="str">
        <x:v>Hallazgo principal</x:v>
      </x:c>
      <x:c r="J23" s="332" t="str">
        <x:v>Hallazgo principal</x:v>
      </x:c>
      <x:c r="K23" s="332" t="str">
        <x:v>Hallazgo principal</x:v>
      </x:c>
      <x:c r="L23" s="332" t="str">
        <x:v>Hallazgo principal</x:v>
      </x:c>
    </x:row>
    <x:row r="24">
      <x:c r="A24" s="328" t="str">
        <x:v>[COLUMNAS AGRUPADAS]
EBITDA · Resultado neto · CFO · FCF
2024 · 2025 · 2026
Lectura: en 2025 el beneficio continúa positivo, pero la generación de caja se debilita.</x:v>
      </x:c>
      <x:c r="B24" s="328" t="str">
        <x:v>[COLUMNAS AGRUPADAS]
EBITDA · Resultado neto · CFO · FCF
2024 · 2025 · 2026
Lectura: en 2025 el beneficio continúa positivo, pero la generación de caja se debilita.</x:v>
      </x:c>
      <x:c r="C24" s="328" t="str">
        <x:v>[COLUMNAS AGRUPADAS]
EBITDA · Resultado neto · CFO · FCF
2024 · 2025 · 2026
Lectura: en 2025 el beneficio continúa positivo, pero la generación de caja se debilita.</x:v>
      </x:c>
      <x:c r="D24" s="328" t="str">
        <x:v>[COLUMNAS AGRUPADAS]
EBITDA · Resultado neto · CFO · FCF
2024 · 2025 · 2026
Lectura: en 2025 el beneficio continúa positivo, pero la generación de caja se debilita.</x:v>
      </x:c>
      <x:c r="E24" s="328" t="str">
        <x:v>[COLUMNAS AGRUPADAS]
EBITDA · Resultado neto · CFO · FCF
2024 · 2025 · 2026
Lectura: en 2025 el beneficio continúa positivo, pero la generación de caja se debilita.</x:v>
      </x:c>
      <x:c r="F24" s="328" t="str">
        <x:v>[COLUMNAS AGRUPADAS]
EBITDA · Resultado neto · CFO · FCF
2024 · 2025 · 2026
Lectura: en 2025 el beneficio continúa positivo, pero la generación de caja se debilita.</x:v>
      </x:c>
      <x:c r="G24" s="328" t="str">
        <x:v>[COLUMNAS AGRUPADAS]
EBITDA · Resultado neto · CFO · FCF
2024 · 2025 · 2026
Lectura: en 2025 el beneficio continúa positivo, pero la generación de caja se debilita.</x:v>
      </x:c>
      <x:c r="H24" s="337" t="str">
        <x:v>La tensión de 2025 procede del capital circulante; 2026 recupera conversión y liquidez.</x:v>
      </x:c>
      <x:c r="I24" s="337" t="str">
        <x:v>La tensión de 2025 procede del capital circulante; 2026 recupera conversión y liquidez.</x:v>
      </x:c>
      <x:c r="J24" s="337" t="str">
        <x:v>La tensión de 2025 procede del capital circulante; 2026 recupera conversión y liquidez.</x:v>
      </x:c>
      <x:c r="K24" s="337" t="str">
        <x:v>La tensión de 2025 procede del capital circulante; 2026 recupera conversión y liquidez.</x:v>
      </x:c>
      <x:c r="L24" s="337" t="str">
        <x:v>La tensión de 2025 procede del capital circulante; 2026 recupera conversión y liquidez.</x:v>
      </x:c>
    </x:row>
    <x:row r="25">
      <x:c r="A25" s="328" t="str">
        <x:v>[COLUMNAS AGRUPADAS]
EBITDA · Resultado neto · CFO · FCF
2024 · 2025 · 2026
Lectura: en 2025 el beneficio continúa positivo, pero la generación de caja se debilita.</x:v>
      </x:c>
      <x:c r="B25" s="328" t="str">
        <x:v>[COLUMNAS AGRUPADAS]
EBITDA · Resultado neto · CFO · FCF
2024 · 2025 · 2026
Lectura: en 2025 el beneficio continúa positivo, pero la generación de caja se debilita.</x:v>
      </x:c>
      <x:c r="C25" s="328" t="str">
        <x:v>[COLUMNAS AGRUPADAS]
EBITDA · Resultado neto · CFO · FCF
2024 · 2025 · 2026
Lectura: en 2025 el beneficio continúa positivo, pero la generación de caja se debilita.</x:v>
      </x:c>
      <x:c r="D25" s="328" t="str">
        <x:v>[COLUMNAS AGRUPADAS]
EBITDA · Resultado neto · CFO · FCF
2024 · 2025 · 2026
Lectura: en 2025 el beneficio continúa positivo, pero la generación de caja se debilita.</x:v>
      </x:c>
      <x:c r="E25" s="328" t="str">
        <x:v>[COLUMNAS AGRUPADAS]
EBITDA · Resultado neto · CFO · FCF
2024 · 2025 · 2026
Lectura: en 2025 el beneficio continúa positivo, pero la generación de caja se debilita.</x:v>
      </x:c>
      <x:c r="F25" s="328" t="str">
        <x:v>[COLUMNAS AGRUPADAS]
EBITDA · Resultado neto · CFO · FCF
2024 · 2025 · 2026
Lectura: en 2025 el beneficio continúa positivo, pero la generación de caja se debilita.</x:v>
      </x:c>
      <x:c r="G25" s="328" t="str">
        <x:v>[COLUMNAS AGRUPADAS]
EBITDA · Resultado neto · CFO · FCF
2024 · 2025 · 2026
Lectura: en 2025 el beneficio continúa positivo, pero la generación de caja se debilita.</x:v>
      </x:c>
      <x:c r="H25" s="337" t="str">
        <x:v>La tensión de 2025 procede del capital circulante; 2026 recupera conversión y liquidez.</x:v>
      </x:c>
      <x:c r="I25" s="337" t="str">
        <x:v>La tensión de 2025 procede del capital circulante; 2026 recupera conversión y liquidez.</x:v>
      </x:c>
      <x:c r="J25" s="337" t="str">
        <x:v>La tensión de 2025 procede del capital circulante; 2026 recupera conversión y liquidez.</x:v>
      </x:c>
      <x:c r="K25" s="337" t="str">
        <x:v>La tensión de 2025 procede del capital circulante; 2026 recupera conversión y liquidez.</x:v>
      </x:c>
      <x:c r="L25" s="337" t="str">
        <x:v>La tensión de 2025 procede del capital circulante; 2026 recupera conversión y liquidez.</x:v>
      </x:c>
    </x:row>
    <x:row r="26">
      <x:c r="A26" s="328" t="str">
        <x:v>[COLUMNAS AGRUPADAS]
EBITDA · Resultado neto · CFO · FCF
2024 · 2025 · 2026
Lectura: en 2025 el beneficio continúa positivo, pero la generación de caja se debilita.</x:v>
      </x:c>
      <x:c r="B26" s="328" t="str">
        <x:v>[COLUMNAS AGRUPADAS]
EBITDA · Resultado neto · CFO · FCF
2024 · 2025 · 2026
Lectura: en 2025 el beneficio continúa positivo, pero la generación de caja se debilita.</x:v>
      </x:c>
      <x:c r="C26" s="328" t="str">
        <x:v>[COLUMNAS AGRUPADAS]
EBITDA · Resultado neto · CFO · FCF
2024 · 2025 · 2026
Lectura: en 2025 el beneficio continúa positivo, pero la generación de caja se debilita.</x:v>
      </x:c>
      <x:c r="D26" s="328" t="str">
        <x:v>[COLUMNAS AGRUPADAS]
EBITDA · Resultado neto · CFO · FCF
2024 · 2025 · 2026
Lectura: en 2025 el beneficio continúa positivo, pero la generación de caja se debilita.</x:v>
      </x:c>
      <x:c r="E26" s="328" t="str">
        <x:v>[COLUMNAS AGRUPADAS]
EBITDA · Resultado neto · CFO · FCF
2024 · 2025 · 2026
Lectura: en 2025 el beneficio continúa positivo, pero la generación de caja se debilita.</x:v>
      </x:c>
      <x:c r="F26" s="328" t="str">
        <x:v>[COLUMNAS AGRUPADAS]
EBITDA · Resultado neto · CFO · FCF
2024 · 2025 · 2026
Lectura: en 2025 el beneficio continúa positivo, pero la generación de caja se debilita.</x:v>
      </x:c>
      <x:c r="G26" s="328" t="str">
        <x:v>[COLUMNAS AGRUPADAS]
EBITDA · Resultado neto · CFO · FCF
2024 · 2025 · 2026
Lectura: en 2025 el beneficio continúa positivo, pero la generación de caja se debilita.</x:v>
      </x:c>
      <x:c r="H26" s="337" t="str">
        <x:v>La tensión de 2025 procede del capital circulante; 2026 recupera conversión y liquidez.</x:v>
      </x:c>
      <x:c r="I26" s="337" t="str">
        <x:v>La tensión de 2025 procede del capital circulante; 2026 recupera conversión y liquidez.</x:v>
      </x:c>
      <x:c r="J26" s="337" t="str">
        <x:v>La tensión de 2025 procede del capital circulante; 2026 recupera conversión y liquidez.</x:v>
      </x:c>
      <x:c r="K26" s="337" t="str">
        <x:v>La tensión de 2025 procede del capital circulante; 2026 recupera conversión y liquidez.</x:v>
      </x:c>
      <x:c r="L26" s="337" t="str">
        <x:v>La tensión de 2025 procede del capital circulante; 2026 recupera conversión y liquidez.</x:v>
      </x:c>
    </x:row>
    <x:row r="27">
      <x:c r="A27" s="305"/>
      <x:c r="B27" s="305"/>
      <x:c r="C27" s="305"/>
      <x:c r="D27" s="305"/>
      <x:c r="E27" s="305"/>
      <x:c r="F27" s="305"/>
      <x:c r="G27" s="305"/>
      <x:c r="H27" s="305"/>
      <x:c r="I27" s="305"/>
      <x:c r="J27" s="305"/>
      <x:c r="K27" s="305"/>
      <x:c r="L27" s="305"/>
    </x:row>
    <x:row r="28">
      <x:c r="A28" s="305"/>
      <x:c r="B28" s="305"/>
      <x:c r="C28" s="305"/>
      <x:c r="D28" s="305"/>
      <x:c r="E28" s="305"/>
      <x:c r="F28" s="305"/>
      <x:c r="G28" s="305"/>
      <x:c r="H28" s="305"/>
      <x:c r="I28" s="305"/>
      <x:c r="J28" s="305"/>
      <x:c r="K28" s="305"/>
      <x:c r="L28" s="305"/>
    </x:row>
    <x:row r="29">
      <x:c r="A29" s="305"/>
      <x:c r="B29" s="305"/>
      <x:c r="C29" s="305"/>
      <x:c r="D29" s="305"/>
      <x:c r="E29" s="305"/>
      <x:c r="F29" s="305"/>
      <x:c r="G29" s="305"/>
      <x:c r="H29" s="305"/>
      <x:c r="I29" s="305"/>
      <x:c r="J29" s="305"/>
      <x:c r="K29" s="305"/>
      <x:c r="L29" s="305"/>
    </x:row>
    <x:row r="30">
      <x:c r="A30" s="305"/>
      <x:c r="B30" s="305"/>
      <x:c r="C30" s="305"/>
      <x:c r="D30" s="305"/>
      <x:c r="E30" s="305"/>
      <x:c r="F30" s="305"/>
      <x:c r="G30" s="305"/>
      <x:c r="H30" s="305"/>
      <x:c r="I30" s="305"/>
      <x:c r="J30" s="305"/>
      <x:c r="K30" s="305"/>
      <x:c r="L30" s="305"/>
    </x:row>
    <x:row r="31" ht="34" customHeight="1">
      <x:c r="A31" s="307" t="str">
        <x:v>02 · Conversión de caja y capital circulante</x:v>
      </x:c>
      <x:c r="B31" s="307" t="str">
        <x:v>02 · Conversión de caja y capital circulante</x:v>
      </x:c>
      <x:c r="C31" s="307" t="str">
        <x:v>02 · Conversión de caja y capital circulante</x:v>
      </x:c>
      <x:c r="D31" s="307" t="str">
        <x:v>02 · Conversión de caja y capital circulante</x:v>
      </x:c>
      <x:c r="E31" s="307" t="str">
        <x:v>02 · Conversión de caja y capital circulante</x:v>
      </x:c>
      <x:c r="F31" s="307" t="str">
        <x:v>02 · Conversión de caja y capital circulante</x:v>
      </x:c>
      <x:c r="G31" s="307" t="str">
        <x:v>02 · Conversión de caja y capital circulante</x:v>
      </x:c>
      <x:c r="H31" s="307" t="str">
        <x:v>02 · Conversión de caja y capital circulante</x:v>
      </x:c>
      <x:c r="I31" s="307" t="str">
        <x:v>02 · Conversión de caja y capital circulante</x:v>
      </x:c>
      <x:c r="J31" s="307" t="str">
        <x:v>02 · Conversión de caja y capital circulante</x:v>
      </x:c>
      <x:c r="K31" s="307" t="str">
        <x:v>02 · Conversión de caja y capital circulante</x:v>
      </x:c>
      <x:c r="L31" s="307" t="str">
        <x:v>02 · Conversión de caja y capital circulante</x:v>
      </x:c>
    </x:row>
    <x:row r="32" ht="28" customHeight="1">
      <x:c r="A32" s="310" t="str">
        <x:v>¿Por qué el beneficio no se convierte completamente en efectivo?</x:v>
      </x:c>
      <x:c r="B32" s="310" t="str">
        <x:v>¿Por qué el beneficio no se convierte completamente en efectivo?</x:v>
      </x:c>
      <x:c r="C32" s="310" t="str">
        <x:v>¿Por qué el beneficio no se convierte completamente en efectivo?</x:v>
      </x:c>
      <x:c r="D32" s="310" t="str">
        <x:v>¿Por qué el beneficio no se convierte completamente en efectivo?</x:v>
      </x:c>
      <x:c r="E32" s="310" t="str">
        <x:v>¿Por qué el beneficio no se convierte completamente en efectivo?</x:v>
      </x:c>
      <x:c r="F32" s="310" t="str">
        <x:v>¿Por qué el beneficio no se convierte completamente en efectivo?</x:v>
      </x:c>
      <x:c r="G32" s="310" t="str">
        <x:v>¿Por qué el beneficio no se convierte completamente en efectivo?</x:v>
      </x:c>
      <x:c r="H32" s="310" t="str">
        <x:v>¿Por qué el beneficio no se convierte completamente en efectivo?</x:v>
      </x:c>
      <x:c r="I32" s="310" t="str">
        <x:v>¿Por qué el beneficio no se convierte completamente en efectivo?</x:v>
      </x:c>
      <x:c r="J32" s="310" t="str">
        <x:v>¿Por qué el beneficio no se convierte completamente en efectivo?</x:v>
      </x:c>
      <x:c r="K32" s="310" t="str">
        <x:v>¿Por qué el beneficio no se convierte completamente en efectivo?</x:v>
      </x:c>
      <x:c r="L32" s="310" t="str">
        <x:v>¿Por qué el beneficio no se convierte completamente en efectivo?</x:v>
      </x:c>
    </x:row>
    <x:row r="33">
      <x:c r="A33" s="305"/>
      <x:c r="B33" s="305"/>
      <x:c r="C33" s="305"/>
      <x:c r="D33" s="305"/>
      <x:c r="E33" s="305"/>
      <x:c r="F33" s="305"/>
      <x:c r="G33" s="305"/>
      <x:c r="H33" s="305"/>
      <x:c r="I33" s="305"/>
      <x:c r="J33" s="305"/>
      <x:c r="K33" s="305"/>
      <x:c r="L33" s="305"/>
    </x:row>
    <x:row r="34" ht="26" customHeight="1">
      <x:c r="A34" s="312" t="str">
        <x:v>Periodo: 2026 LTM  ▾</x:v>
      </x:c>
      <x:c r="B34" s="312" t="str">
        <x:v>Periodo: 2026 LTM  ▾</x:v>
      </x:c>
      <x:c r="C34" s="312" t="str">
        <x:v>Periodo: 2026 LTM  ▾</x:v>
      </x:c>
      <x:c r="D34" s="312" t="str">
        <x:v>Periodo: 2026 LTM  ▾</x:v>
      </x:c>
      <x:c r="E34" s="312" t="str">
        <x:v>Comparación: 2025  ▾</x:v>
      </x:c>
      <x:c r="F34" s="312" t="str">
        <x:v>Comparación: 2025  ▾</x:v>
      </x:c>
      <x:c r="G34" s="312" t="str">
        <x:v>Comparación: 2025  ▾</x:v>
      </x:c>
      <x:c r="H34" s="312" t="str">
        <x:v>Comparación: 2025  ▾</x:v>
      </x:c>
      <x:c r="I34" s="312" t="str">
        <x:v>Mensual / Anual</x:v>
      </x:c>
      <x:c r="J34" s="312" t="str">
        <x:v>Mensual / Anual</x:v>
      </x:c>
      <x:c r="K34" s="312" t="str">
        <x:v>Restablecer</x:v>
      </x:c>
      <x:c r="L34" s="312" t="str">
        <x:v>Restablecer</x:v>
      </x:c>
    </x:row>
    <x:row r="35">
      <x:c r="A35" s="305"/>
      <x:c r="B35" s="305"/>
      <x:c r="C35" s="305"/>
      <x:c r="D35" s="305"/>
      <x:c r="E35" s="305"/>
      <x:c r="F35" s="305"/>
      <x:c r="G35" s="305"/>
      <x:c r="H35" s="305"/>
      <x:c r="I35" s="305"/>
      <x:c r="J35" s="305"/>
      <x:c r="K35" s="305"/>
      <x:c r="L35" s="305"/>
    </x:row>
    <x:row r="36">
      <x:c r="A36" s="315" t="str">
        <x:v>Resultado neto</x:v>
      </x:c>
      <x:c r="B36" s="315" t="str">
        <x:v>Resultado neto</x:v>
      </x:c>
      <x:c r="C36" s="315" t="str">
        <x:v>Resultado neto</x:v>
      </x:c>
      <x:c r="D36" s="315" t="str">
        <x:v>CFO</x:v>
      </x:c>
      <x:c r="E36" s="315" t="str">
        <x:v>CFO</x:v>
      </x:c>
      <x:c r="F36" s="315" t="str">
        <x:v>CFO</x:v>
      </x:c>
      <x:c r="G36" s="315" t="str">
        <x:v>CFO / EBITDA</x:v>
      </x:c>
      <x:c r="H36" s="315" t="str">
        <x:v>CFO / EBITDA</x:v>
      </x:c>
      <x:c r="I36" s="315" t="str">
        <x:v>CFO / EBITDA</x:v>
      </x:c>
      <x:c r="J36" s="315" t="str">
        <x:v>CFO / Resultado neto</x:v>
      </x:c>
      <x:c r="K36" s="315" t="str">
        <x:v>CFO / Resultado neto</x:v>
      </x:c>
      <x:c r="L36" s="315" t="str">
        <x:v>CFO / Resultado neto</x:v>
      </x:c>
    </x:row>
    <x:row r="37">
      <x:c r="A37" s="318" t="str">
        <x:v>3,56 M€</x:v>
      </x:c>
      <x:c r="B37" s="318" t="str">
        <x:v>3,56 M€</x:v>
      </x:c>
      <x:c r="C37" s="318" t="str">
        <x:v>3,56 M€</x:v>
      </x:c>
      <x:c r="D37" s="318" t="str">
        <x:v>6,17 M€</x:v>
      </x:c>
      <x:c r="E37" s="318" t="str">
        <x:v>6,17 M€</x:v>
      </x:c>
      <x:c r="F37" s="318" t="str">
        <x:v>6,17 M€</x:v>
      </x:c>
      <x:c r="G37" s="318" t="str">
        <x:v>80,8%</x:v>
      </x:c>
      <x:c r="H37" s="318" t="str">
        <x:v>80,8%</x:v>
      </x:c>
      <x:c r="I37" s="318" t="str">
        <x:v>80,8%</x:v>
      </x:c>
      <x:c r="J37" s="318" t="str">
        <x:v>1,73x</x:v>
      </x:c>
      <x:c r="K37" s="318" t="str">
        <x:v>1,73x</x:v>
      </x:c>
      <x:c r="L37" s="318" t="str">
        <x:v>1,73x</x:v>
      </x:c>
    </x:row>
    <x:row r="38">
      <x:c r="A38" s="318" t="str">
        <x:v>3,56 M€</x:v>
      </x:c>
      <x:c r="B38" s="318" t="str">
        <x:v>3,56 M€</x:v>
      </x:c>
      <x:c r="C38" s="318" t="str">
        <x:v>3,56 M€</x:v>
      </x:c>
      <x:c r="D38" s="318" t="str">
        <x:v>6,17 M€</x:v>
      </x:c>
      <x:c r="E38" s="318" t="str">
        <x:v>6,17 M€</x:v>
      </x:c>
      <x:c r="F38" s="318" t="str">
        <x:v>6,17 M€</x:v>
      </x:c>
      <x:c r="G38" s="318" t="str">
        <x:v>80,8%</x:v>
      </x:c>
      <x:c r="H38" s="318" t="str">
        <x:v>80,8%</x:v>
      </x:c>
      <x:c r="I38" s="318" t="str">
        <x:v>80,8%</x:v>
      </x:c>
      <x:c r="J38" s="318" t="str">
        <x:v>1,73x</x:v>
      </x:c>
      <x:c r="K38" s="318" t="str">
        <x:v>1,73x</x:v>
      </x:c>
      <x:c r="L38" s="318" t="str">
        <x:v>1,73x</x:v>
      </x:c>
    </x:row>
    <x:row r="39">
      <x:c r="A39" s="322" t="str">
        <x:v>2026 LTM</x:v>
      </x:c>
      <x:c r="B39" s="322" t="str">
        <x:v>2026 LTM</x:v>
      </x:c>
      <x:c r="C39" s="322" t="str">
        <x:v>2026 LTM</x:v>
      </x:c>
      <x:c r="D39" s="322" t="str">
        <x:v>Caja operativa</x:v>
      </x:c>
      <x:c r="E39" s="322" t="str">
        <x:v>Caja operativa</x:v>
      </x:c>
      <x:c r="F39" s="322" t="str">
        <x:v>Caja operativa</x:v>
      </x:c>
      <x:c r="G39" s="322" t="str">
        <x:v>Calidad de conversión</x:v>
      </x:c>
      <x:c r="H39" s="322" t="str">
        <x:v>Calidad de conversión</x:v>
      </x:c>
      <x:c r="I39" s="322" t="str">
        <x:v>Calidad de conversión</x:v>
      </x:c>
      <x:c r="J39" s="322" t="str">
        <x:v>Calidad del beneficio</x:v>
      </x:c>
      <x:c r="K39" s="322" t="str">
        <x:v>Calidad del beneficio</x:v>
      </x:c>
      <x:c r="L39" s="322" t="str">
        <x:v>Calidad del beneficio</x:v>
      </x:c>
    </x:row>
    <x:row r="40">
      <x:c r="A40" s="305"/>
      <x:c r="B40" s="305"/>
      <x:c r="C40" s="305"/>
      <x:c r="D40" s="305"/>
      <x:c r="E40" s="305"/>
      <x:c r="F40" s="305"/>
      <x:c r="G40" s="305"/>
      <x:c r="H40" s="305"/>
      <x:c r="I40" s="305"/>
      <x:c r="J40" s="305"/>
      <x:c r="K40" s="305"/>
      <x:c r="L40" s="305"/>
    </x:row>
    <x:row r="41">
      <x:c r="A41" s="315" t="str">
        <x:v>DSO</x:v>
      </x:c>
      <x:c r="B41" s="315" t="str">
        <x:v>DSO</x:v>
      </x:c>
      <x:c r="C41" s="315" t="str">
        <x:v>DSO</x:v>
      </x:c>
      <x:c r="D41" s="315" t="str">
        <x:v>DIO</x:v>
      </x:c>
      <x:c r="E41" s="315" t="str">
        <x:v>DIO</x:v>
      </x:c>
      <x:c r="F41" s="315" t="str">
        <x:v>DIO</x:v>
      </x:c>
      <x:c r="G41" s="315" t="str">
        <x:v>DPO</x:v>
      </x:c>
      <x:c r="H41" s="315" t="str">
        <x:v>DPO</x:v>
      </x:c>
      <x:c r="I41" s="315" t="str">
        <x:v>DPO</x:v>
      </x:c>
      <x:c r="J41" s="315" t="str">
        <x:v>CCC</x:v>
      </x:c>
      <x:c r="K41" s="315" t="str">
        <x:v>CCC</x:v>
      </x:c>
      <x:c r="L41" s="315" t="str">
        <x:v>CCC</x:v>
      </x:c>
    </x:row>
    <x:row r="42">
      <x:c r="A42" s="318" t="str">
        <x:v>Objetivo ≤ 58 d</x:v>
      </x:c>
      <x:c r="B42" s="318" t="str">
        <x:v>Objetivo ≤ 58 d</x:v>
      </x:c>
      <x:c r="C42" s="318" t="str">
        <x:v>Objetivo ≤ 58 d</x:v>
      </x:c>
      <x:c r="D42" s="318" t="str">
        <x:v>Objetivo ≤ 55 d</x:v>
      </x:c>
      <x:c r="E42" s="318" t="str">
        <x:v>Objetivo ≤ 55 d</x:v>
      </x:c>
      <x:c r="F42" s="318" t="str">
        <x:v>Objetivo ≤ 55 d</x:v>
      </x:c>
      <x:c r="G42" s="318" t="str">
        <x:v>Objetivo ≥ 50 d</x:v>
      </x:c>
      <x:c r="H42" s="318" t="str">
        <x:v>Objetivo ≥ 50 d</x:v>
      </x:c>
      <x:c r="I42" s="318" t="str">
        <x:v>Objetivo ≥ 50 d</x:v>
      </x:c>
      <x:c r="J42" s="318" t="str">
        <x:v>Pico: 84,7 d</x:v>
      </x:c>
      <x:c r="K42" s="318" t="str">
        <x:v>Pico: 84,7 d</x:v>
      </x:c>
      <x:c r="L42" s="318" t="str">
        <x:v>Pico: 84,7 d</x:v>
      </x:c>
    </x:row>
    <x:row r="43">
      <x:c r="A43" s="318" t="str">
        <x:v>Objetivo ≤ 58 d</x:v>
      </x:c>
      <x:c r="B43" s="318" t="str">
        <x:v>Objetivo ≤ 58 d</x:v>
      </x:c>
      <x:c r="C43" s="318" t="str">
        <x:v>Objetivo ≤ 58 d</x:v>
      </x:c>
      <x:c r="D43" s="318" t="str">
        <x:v>Objetivo ≤ 55 d</x:v>
      </x:c>
      <x:c r="E43" s="318" t="str">
        <x:v>Objetivo ≤ 55 d</x:v>
      </x:c>
      <x:c r="F43" s="318" t="str">
        <x:v>Objetivo ≤ 55 d</x:v>
      </x:c>
      <x:c r="G43" s="318" t="str">
        <x:v>Objetivo ≥ 50 d</x:v>
      </x:c>
      <x:c r="H43" s="318" t="str">
        <x:v>Objetivo ≥ 50 d</x:v>
      </x:c>
      <x:c r="I43" s="318" t="str">
        <x:v>Objetivo ≥ 50 d</x:v>
      </x:c>
      <x:c r="J43" s="318" t="str">
        <x:v>Pico: 84,7 d</x:v>
      </x:c>
      <x:c r="K43" s="318" t="str">
        <x:v>Pico: 84,7 d</x:v>
      </x:c>
      <x:c r="L43" s="318" t="str">
        <x:v>Pico: 84,7 d</x:v>
      </x:c>
    </x:row>
    <x:row r="44">
      <x:c r="A44" s="322" t="str">
        <x:v>Cobros</x:v>
      </x:c>
      <x:c r="B44" s="322" t="str">
        <x:v>Cobros</x:v>
      </x:c>
      <x:c r="C44" s="322" t="str">
        <x:v>Cobros</x:v>
      </x:c>
      <x:c r="D44" s="322" t="str">
        <x:v>Inventario</x:v>
      </x:c>
      <x:c r="E44" s="322" t="str">
        <x:v>Inventario</x:v>
      </x:c>
      <x:c r="F44" s="322" t="str">
        <x:v>Inventario</x:v>
      </x:c>
      <x:c r="G44" s="322" t="str">
        <x:v>Pagos</x:v>
      </x:c>
      <x:c r="H44" s="322" t="str">
        <x:v>Pagos</x:v>
      </x:c>
      <x:c r="I44" s="322" t="str">
        <x:v>Pagos</x:v>
      </x:c>
      <x:c r="J44" s="322" t="str">
        <x:v>Ago-2025 · alerta real</x:v>
      </x:c>
      <x:c r="K44" s="322" t="str">
        <x:v>Ago-2025 · alerta real</x:v>
      </x:c>
      <x:c r="L44" s="322" t="str">
        <x:v>Ago-2025 · alerta real</x:v>
      </x:c>
    </x:row>
    <x:row r="45">
      <x:c r="A45" s="305"/>
      <x:c r="B45" s="305"/>
      <x:c r="C45" s="305"/>
      <x:c r="D45" s="305"/>
      <x:c r="E45" s="305"/>
      <x:c r="F45" s="305"/>
      <x:c r="G45" s="305"/>
      <x:c r="H45" s="305"/>
      <x:c r="I45" s="305"/>
      <x:c r="J45" s="305"/>
      <x:c r="K45" s="305"/>
      <x:c r="L45" s="305"/>
    </x:row>
    <x:row r="46">
      <x:c r="A46" s="326" t="str">
        <x:v>Del resultado neto a la caja operativa</x:v>
      </x:c>
      <x:c r="B46" s="326" t="str">
        <x:v>Del resultado neto a la caja operativa</x:v>
      </x:c>
      <x:c r="C46" s="326" t="str">
        <x:v>Del resultado neto a la caja operativa</x:v>
      </x:c>
      <x:c r="D46" s="326" t="str">
        <x:v>Del resultado neto a la caja operativa</x:v>
      </x:c>
      <x:c r="E46" s="326" t="str">
        <x:v>Del resultado neto a la caja operativa</x:v>
      </x:c>
      <x:c r="F46" s="326" t="str">
        <x:v>Del resultado neto a la caja operativa</x:v>
      </x:c>
      <x:c r="G46" s="326" t="str">
        <x:v>Del resultado neto a la caja operativa</x:v>
      </x:c>
      <x:c r="H46" s="326" t="str">
        <x:v>Días que el efectivo permanece en la operación</x:v>
      </x:c>
      <x:c r="I46" s="326" t="str">
        <x:v>Días que el efectivo permanece en la operación</x:v>
      </x:c>
      <x:c r="J46" s="326" t="str">
        <x:v>Días que el efectivo permanece en la operación</x:v>
      </x:c>
      <x:c r="K46" s="326" t="str">
        <x:v>Días que el efectivo permanece en la operación</x:v>
      </x:c>
      <x:c r="L46" s="326" t="str">
        <x:v>Días que el efectivo permanece en la operación</x:v>
      </x:c>
    </x:row>
    <x:row r="47">
      <x:c r="A47" s="328" t="str">
        <x:v>[WATERFALL]
Resultado neto + partidas no caja ± clientes ± inventario ± proveedores ± otros = CFO
Cada barra explicará si libera o absorbe efectivo.</x:v>
      </x:c>
      <x:c r="B47" s="328" t="str">
        <x:v>[WATERFALL]
Resultado neto + partidas no caja ± clientes ± inventario ± proveedores ± otros = CFO
Cada barra explicará si libera o absorbe efectivo.</x:v>
      </x:c>
      <x:c r="C47" s="328" t="str">
        <x:v>[WATERFALL]
Resultado neto + partidas no caja ± clientes ± inventario ± proveedores ± otros = CFO
Cada barra explicará si libera o absorbe efectivo.</x:v>
      </x:c>
      <x:c r="D47" s="328" t="str">
        <x:v>[WATERFALL]
Resultado neto + partidas no caja ± clientes ± inventario ± proveedores ± otros = CFO
Cada barra explicará si libera o absorbe efectivo.</x:v>
      </x:c>
      <x:c r="E47" s="328" t="str">
        <x:v>[WATERFALL]
Resultado neto + partidas no caja ± clientes ± inventario ± proveedores ± otros = CFO
Cada barra explicará si libera o absorbe efectivo.</x:v>
      </x:c>
      <x:c r="F47" s="328" t="str">
        <x:v>[WATERFALL]
Resultado neto + partidas no caja ± clientes ± inventario ± proveedores ± otros = CFO
Cada barra explicará si libera o absorbe efectivo.</x:v>
      </x:c>
      <x:c r="G47" s="328" t="str">
        <x:v>[WATERFALL]
Resultado neto + partidas no caja ± clientes ± inventario ± proveedores ± otros = CFO
Cada barra explicará si libera o absorbe efectivo.</x:v>
      </x:c>
      <x:c r="H47" s="328" t="str">
        <x:v>[LÍNEAS]
DSO · DIO · DPO · CCC
Mensual 2024–2026</x:v>
      </x:c>
      <x:c r="I47" s="328" t="str">
        <x:v>[LÍNEAS]
DSO · DIO · DPO · CCC
Mensual 2024–2026</x:v>
      </x:c>
      <x:c r="J47" s="328" t="str">
        <x:v>[LÍNEAS]
DSO · DIO · DPO · CCC
Mensual 2024–2026</x:v>
      </x:c>
      <x:c r="K47" s="328" t="str">
        <x:v>[LÍNEAS]
DSO · DIO · DPO · CCC
Mensual 2024–2026</x:v>
      </x:c>
      <x:c r="L47" s="328" t="str">
        <x:v>[LÍNEAS]
DSO · DIO · DPO · CCC
Mensual 2024–2026</x:v>
      </x:c>
    </x:row>
    <x:row r="48">
      <x:c r="A48" s="328" t="str">
        <x:v>[WATERFALL]
Resultado neto + partidas no caja ± clientes ± inventario ± proveedores ± otros = CFO
Cada barra explicará si libera o absorbe efectivo.</x:v>
      </x:c>
      <x:c r="B48" s="328" t="str">
        <x:v>[WATERFALL]
Resultado neto + partidas no caja ± clientes ± inventario ± proveedores ± otros = CFO
Cada barra explicará si libera o absorbe efectivo.</x:v>
      </x:c>
      <x:c r="C48" s="328" t="str">
        <x:v>[WATERFALL]
Resultado neto + partidas no caja ± clientes ± inventario ± proveedores ± otros = CFO
Cada barra explicará si libera o absorbe efectivo.</x:v>
      </x:c>
      <x:c r="D48" s="328" t="str">
        <x:v>[WATERFALL]
Resultado neto + partidas no caja ± clientes ± inventario ± proveedores ± otros = CFO
Cada barra explicará si libera o absorbe efectivo.</x:v>
      </x:c>
      <x:c r="E48" s="328" t="str">
        <x:v>[WATERFALL]
Resultado neto + partidas no caja ± clientes ± inventario ± proveedores ± otros = CFO
Cada barra explicará si libera o absorbe efectivo.</x:v>
      </x:c>
      <x:c r="F48" s="328" t="str">
        <x:v>[WATERFALL]
Resultado neto + partidas no caja ± clientes ± inventario ± proveedores ± otros = CFO
Cada barra explicará si libera o absorbe efectivo.</x:v>
      </x:c>
      <x:c r="G48" s="328" t="str">
        <x:v>[WATERFALL]
Resultado neto + partidas no caja ± clientes ± inventario ± proveedores ± otros = CFO
Cada barra explicará si libera o absorbe efectivo.</x:v>
      </x:c>
      <x:c r="H48" s="328" t="str">
        <x:v>[LÍNEAS]
DSO · DIO · DPO · CCC
Mensual 2024–2026</x:v>
      </x:c>
      <x:c r="I48" s="328" t="str">
        <x:v>[LÍNEAS]
DSO · DIO · DPO · CCC
Mensual 2024–2026</x:v>
      </x:c>
      <x:c r="J48" s="328" t="str">
        <x:v>[LÍNEAS]
DSO · DIO · DPO · CCC
Mensual 2024–2026</x:v>
      </x:c>
      <x:c r="K48" s="328" t="str">
        <x:v>[LÍNEAS]
DSO · DIO · DPO · CCC
Mensual 2024–2026</x:v>
      </x:c>
      <x:c r="L48" s="328" t="str">
        <x:v>[LÍNEAS]
DSO · DIO · DPO · CCC
Mensual 2024–2026</x:v>
      </x:c>
    </x:row>
    <x:row r="49">
      <x:c r="A49" s="328" t="str">
        <x:v>[WATERFALL]
Resultado neto + partidas no caja ± clientes ± inventario ± proveedores ± otros = CFO
Cada barra explicará si libera o absorbe efectivo.</x:v>
      </x:c>
      <x:c r="B49" s="328" t="str">
        <x:v>[WATERFALL]
Resultado neto + partidas no caja ± clientes ± inventario ± proveedores ± otros = CFO
Cada barra explicará si libera o absorbe efectivo.</x:v>
      </x:c>
      <x:c r="C49" s="328" t="str">
        <x:v>[WATERFALL]
Resultado neto + partidas no caja ± clientes ± inventario ± proveedores ± otros = CFO
Cada barra explicará si libera o absorbe efectivo.</x:v>
      </x:c>
      <x:c r="D49" s="328" t="str">
        <x:v>[WATERFALL]
Resultado neto + partidas no caja ± clientes ± inventario ± proveedores ± otros = CFO
Cada barra explicará si libera o absorbe efectivo.</x:v>
      </x:c>
      <x:c r="E49" s="328" t="str">
        <x:v>[WATERFALL]
Resultado neto + partidas no caja ± clientes ± inventario ± proveedores ± otros = CFO
Cada barra explicará si libera o absorbe efectivo.</x:v>
      </x:c>
      <x:c r="F49" s="328" t="str">
        <x:v>[WATERFALL]
Resultado neto + partidas no caja ± clientes ± inventario ± proveedores ± otros = CFO
Cada barra explicará si libera o absorbe efectivo.</x:v>
      </x:c>
      <x:c r="G49" s="328" t="str">
        <x:v>[WATERFALL]
Resultado neto + partidas no caja ± clientes ± inventario ± proveedores ± otros = CFO
Cada barra explicará si libera o absorbe efectivo.</x:v>
      </x:c>
      <x:c r="H49" s="328" t="str">
        <x:v>[LÍNEAS]
DSO · DIO · DPO · CCC
Mensual 2024–2026</x:v>
      </x:c>
      <x:c r="I49" s="328" t="str">
        <x:v>[LÍNEAS]
DSO · DIO · DPO · CCC
Mensual 2024–2026</x:v>
      </x:c>
      <x:c r="J49" s="328" t="str">
        <x:v>[LÍNEAS]
DSO · DIO · DPO · CCC
Mensual 2024–2026</x:v>
      </x:c>
      <x:c r="K49" s="328" t="str">
        <x:v>[LÍNEAS]
DSO · DIO · DPO · CCC
Mensual 2024–2026</x:v>
      </x:c>
      <x:c r="L49" s="328" t="str">
        <x:v>[LÍNEAS]
DSO · DIO · DPO · CCC
Mensual 2024–2026</x:v>
      </x:c>
    </x:row>
    <x:row r="50">
      <x:c r="A50" s="328" t="str">
        <x:v>[WATERFALL]
Resultado neto + partidas no caja ± clientes ± inventario ± proveedores ± otros = CFO
Cada barra explicará si libera o absorbe efectivo.</x:v>
      </x:c>
      <x:c r="B50" s="328" t="str">
        <x:v>[WATERFALL]
Resultado neto + partidas no caja ± clientes ± inventario ± proveedores ± otros = CFO
Cada barra explicará si libera o absorbe efectivo.</x:v>
      </x:c>
      <x:c r="C50" s="328" t="str">
        <x:v>[WATERFALL]
Resultado neto + partidas no caja ± clientes ± inventario ± proveedores ± otros = CFO
Cada barra explicará si libera o absorbe efectivo.</x:v>
      </x:c>
      <x:c r="D50" s="328" t="str">
        <x:v>[WATERFALL]
Resultado neto + partidas no caja ± clientes ± inventario ± proveedores ± otros = CFO
Cada barra explicará si libera o absorbe efectivo.</x:v>
      </x:c>
      <x:c r="E50" s="328" t="str">
        <x:v>[WATERFALL]
Resultado neto + partidas no caja ± clientes ± inventario ± proveedores ± otros = CFO
Cada barra explicará si libera o absorbe efectivo.</x:v>
      </x:c>
      <x:c r="F50" s="328" t="str">
        <x:v>[WATERFALL]
Resultado neto + partidas no caja ± clientes ± inventario ± proveedores ± otros = CFO
Cada barra explicará si libera o absorbe efectivo.</x:v>
      </x:c>
      <x:c r="G50" s="328" t="str">
        <x:v>[WATERFALL]
Resultado neto + partidas no caja ± clientes ± inventario ± proveedores ± otros = CFO
Cada barra explicará si libera o absorbe efectivo.</x:v>
      </x:c>
      <x:c r="H50" s="328" t="str">
        <x:v>[LÍNEAS]
DSO · DIO · DPO · CCC
Mensual 2024–2026</x:v>
      </x:c>
      <x:c r="I50" s="328" t="str">
        <x:v>[LÍNEAS]
DSO · DIO · DPO · CCC
Mensual 2024–2026</x:v>
      </x:c>
      <x:c r="J50" s="328" t="str">
        <x:v>[LÍNEAS]
DSO · DIO · DPO · CCC
Mensual 2024–2026</x:v>
      </x:c>
      <x:c r="K50" s="328" t="str">
        <x:v>[LÍNEAS]
DSO · DIO · DPO · CCC
Mensual 2024–2026</x:v>
      </x:c>
      <x:c r="L50" s="328" t="str">
        <x:v>[LÍNEAS]
DSO · DIO · DPO · CCC
Mensual 2024–2026</x:v>
      </x:c>
    </x:row>
    <x:row r="51">
      <x:c r="A51" s="328" t="str">
        <x:v>[WATERFALL]
Resultado neto + partidas no caja ± clientes ± inventario ± proveedores ± otros = CFO
Cada barra explicará si libera o absorbe efectivo.</x:v>
      </x:c>
      <x:c r="B51" s="328" t="str">
        <x:v>[WATERFALL]
Resultado neto + partidas no caja ± clientes ± inventario ± proveedores ± otros = CFO
Cada barra explicará si libera o absorbe efectivo.</x:v>
      </x:c>
      <x:c r="C51" s="328" t="str">
        <x:v>[WATERFALL]
Resultado neto + partidas no caja ± clientes ± inventario ± proveedores ± otros = CFO
Cada barra explicará si libera o absorbe efectivo.</x:v>
      </x:c>
      <x:c r="D51" s="328" t="str">
        <x:v>[WATERFALL]
Resultado neto + partidas no caja ± clientes ± inventario ± proveedores ± otros = CFO
Cada barra explicará si libera o absorbe efectivo.</x:v>
      </x:c>
      <x:c r="E51" s="328" t="str">
        <x:v>[WATERFALL]
Resultado neto + partidas no caja ± clientes ± inventario ± proveedores ± otros = CFO
Cada barra explicará si libera o absorbe efectivo.</x:v>
      </x:c>
      <x:c r="F51" s="328" t="str">
        <x:v>[WATERFALL]
Resultado neto + partidas no caja ± clientes ± inventario ± proveedores ± otros = CFO
Cada barra explicará si libera o absorbe efectivo.</x:v>
      </x:c>
      <x:c r="G51" s="328" t="str">
        <x:v>[WATERFALL]
Resultado neto + partidas no caja ± clientes ± inventario ± proveedores ± otros = CFO
Cada barra explicará si libera o absorbe efectivo.</x:v>
      </x:c>
      <x:c r="H51" s="328" t="str">
        <x:v>[LÍNEAS]
DSO · DIO · DPO · CCC
Mensual 2024–2026</x:v>
      </x:c>
      <x:c r="I51" s="328" t="str">
        <x:v>[LÍNEAS]
DSO · DIO · DPO · CCC
Mensual 2024–2026</x:v>
      </x:c>
      <x:c r="J51" s="328" t="str">
        <x:v>[LÍNEAS]
DSO · DIO · DPO · CCC
Mensual 2024–2026</x:v>
      </x:c>
      <x:c r="K51" s="328" t="str">
        <x:v>[LÍNEAS]
DSO · DIO · DPO · CCC
Mensual 2024–2026</x:v>
      </x:c>
      <x:c r="L51" s="328" t="str">
        <x:v>[LÍNEAS]
DSO · DIO · DPO · CCC
Mensual 2024–2026</x:v>
      </x:c>
    </x:row>
    <x:row r="52">
      <x:c r="A52" s="328" t="str">
        <x:v>[WATERFALL]
Resultado neto + partidas no caja ± clientes ± inventario ± proveedores ± otros = CFO
Cada barra explicará si libera o absorbe efectivo.</x:v>
      </x:c>
      <x:c r="B52" s="328" t="str">
        <x:v>[WATERFALL]
Resultado neto + partidas no caja ± clientes ± inventario ± proveedores ± otros = CFO
Cada barra explicará si libera o absorbe efectivo.</x:v>
      </x:c>
      <x:c r="C52" s="328" t="str">
        <x:v>[WATERFALL]
Resultado neto + partidas no caja ± clientes ± inventario ± proveedores ± otros = CFO
Cada barra explicará si libera o absorbe efectivo.</x:v>
      </x:c>
      <x:c r="D52" s="328" t="str">
        <x:v>[WATERFALL]
Resultado neto + partidas no caja ± clientes ± inventario ± proveedores ± otros = CFO
Cada barra explicará si libera o absorbe efectivo.</x:v>
      </x:c>
      <x:c r="E52" s="328" t="str">
        <x:v>[WATERFALL]
Resultado neto + partidas no caja ± clientes ± inventario ± proveedores ± otros = CFO
Cada barra explicará si libera o absorbe efectivo.</x:v>
      </x:c>
      <x:c r="F52" s="328" t="str">
        <x:v>[WATERFALL]
Resultado neto + partidas no caja ± clientes ± inventario ± proveedores ± otros = CFO
Cada barra explicará si libera o absorbe efectivo.</x:v>
      </x:c>
      <x:c r="G52" s="328" t="str">
        <x:v>[WATERFALL]
Resultado neto + partidas no caja ± clientes ± inventario ± proveedores ± otros = CFO
Cada barra explicará si libera o absorbe efectivo.</x:v>
      </x:c>
      <x:c r="H52" s="328" t="str">
        <x:v>[LÍNEAS]
DSO · DIO · DPO · CCC
Mensual 2024–2026</x:v>
      </x:c>
      <x:c r="I52" s="328" t="str">
        <x:v>[LÍNEAS]
DSO · DIO · DPO · CCC
Mensual 2024–2026</x:v>
      </x:c>
      <x:c r="J52" s="328" t="str">
        <x:v>[LÍNEAS]
DSO · DIO · DPO · CCC
Mensual 2024–2026</x:v>
      </x:c>
      <x:c r="K52" s="328" t="str">
        <x:v>[LÍNEAS]
DSO · DIO · DPO · CCC
Mensual 2024–2026</x:v>
      </x:c>
      <x:c r="L52" s="328" t="str">
        <x:v>[LÍNEAS]
DSO · DIO · DPO · CCC
Mensual 2024–2026</x:v>
      </x:c>
    </x:row>
    <x:row r="53">
      <x:c r="A53" s="328" t="str">
        <x:v>[WATERFALL]
Resultado neto + partidas no caja ± clientes ± inventario ± proveedores ± otros = CFO
Cada barra explicará si libera o absorbe efectivo.</x:v>
      </x:c>
      <x:c r="B53" s="328" t="str">
        <x:v>[WATERFALL]
Resultado neto + partidas no caja ± clientes ± inventario ± proveedores ± otros = CFO
Cada barra explicará si libera o absorbe efectivo.</x:v>
      </x:c>
      <x:c r="C53" s="328" t="str">
        <x:v>[WATERFALL]
Resultado neto + partidas no caja ± clientes ± inventario ± proveedores ± otros = CFO
Cada barra explicará si libera o absorbe efectivo.</x:v>
      </x:c>
      <x:c r="D53" s="328" t="str">
        <x:v>[WATERFALL]
Resultado neto + partidas no caja ± clientes ± inventario ± proveedores ± otros = CFO
Cada barra explicará si libera o absorbe efectivo.</x:v>
      </x:c>
      <x:c r="E53" s="328" t="str">
        <x:v>[WATERFALL]
Resultado neto + partidas no caja ± clientes ± inventario ± proveedores ± otros = CFO
Cada barra explicará si libera o absorbe efectivo.</x:v>
      </x:c>
      <x:c r="F53" s="328" t="str">
        <x:v>[WATERFALL]
Resultado neto + partidas no caja ± clientes ± inventario ± proveedores ± otros = CFO
Cada barra explicará si libera o absorbe efectivo.</x:v>
      </x:c>
      <x:c r="G53" s="328" t="str">
        <x:v>[WATERFALL]
Resultado neto + partidas no caja ± clientes ± inventario ± proveedores ± otros = CFO
Cada barra explicará si libera o absorbe efectivo.</x:v>
      </x:c>
      <x:c r="H53" s="305"/>
      <x:c r="I53" s="305"/>
      <x:c r="J53" s="305"/>
      <x:c r="K53" s="305"/>
      <x:c r="L53" s="305"/>
    </x:row>
    <x:row r="54">
      <x:c r="A54" s="328" t="str">
        <x:v>[WATERFALL]
Resultado neto + partidas no caja ± clientes ± inventario ± proveedores ± otros = CFO
Cada barra explicará si libera o absorbe efectivo.</x:v>
      </x:c>
      <x:c r="B54" s="328" t="str">
        <x:v>[WATERFALL]
Resultado neto + partidas no caja ± clientes ± inventario ± proveedores ± otros = CFO
Cada barra explicará si libera o absorbe efectivo.</x:v>
      </x:c>
      <x:c r="C54" s="328" t="str">
        <x:v>[WATERFALL]
Resultado neto + partidas no caja ± clientes ± inventario ± proveedores ± otros = CFO
Cada barra explicará si libera o absorbe efectivo.</x:v>
      </x:c>
      <x:c r="D54" s="328" t="str">
        <x:v>[WATERFALL]
Resultado neto + partidas no caja ± clientes ± inventario ± proveedores ± otros = CFO
Cada barra explicará si libera o absorbe efectivo.</x:v>
      </x:c>
      <x:c r="E54" s="328" t="str">
        <x:v>[WATERFALL]
Resultado neto + partidas no caja ± clientes ± inventario ± proveedores ± otros = CFO
Cada barra explicará si libera o absorbe efectivo.</x:v>
      </x:c>
      <x:c r="F54" s="328" t="str">
        <x:v>[WATERFALL]
Resultado neto + partidas no caja ± clientes ± inventario ± proveedores ± otros = CFO
Cada barra explicará si libera o absorbe efectivo.</x:v>
      </x:c>
      <x:c r="G54" s="328" t="str">
        <x:v>[WATERFALL]
Resultado neto + partidas no caja ± clientes ± inventario ± proveedores ± otros = CFO
Cada barra explicará si libera o absorbe efectivo.</x:v>
      </x:c>
      <x:c r="H54" s="341" t="str">
        <x:v>Qué absorbió o liberó caja</x:v>
      </x:c>
      <x:c r="I54" s="341" t="str">
        <x:v>Qué absorbió o liberó caja</x:v>
      </x:c>
      <x:c r="J54" s="341" t="str">
        <x:v>Qué absorbió o liberó caja</x:v>
      </x:c>
      <x:c r="K54" s="341" t="str">
        <x:v>Qué absorbió o liberó caja</x:v>
      </x:c>
      <x:c r="L54" s="341" t="str">
        <x:v>Qué absorbió o liberó caja</x:v>
      </x:c>
    </x:row>
    <x:row r="55">
      <x:c r="A55" s="328" t="str">
        <x:v>[WATERFALL]
Resultado neto + partidas no caja ± clientes ± inventario ± proveedores ± otros = CFO
Cada barra explicará si libera o absorbe efectivo.</x:v>
      </x:c>
      <x:c r="B55" s="328" t="str">
        <x:v>[WATERFALL]
Resultado neto + partidas no caja ± clientes ± inventario ± proveedores ± otros = CFO
Cada barra explicará si libera o absorbe efectivo.</x:v>
      </x:c>
      <x:c r="C55" s="328" t="str">
        <x:v>[WATERFALL]
Resultado neto + partidas no caja ± clientes ± inventario ± proveedores ± otros = CFO
Cada barra explicará si libera o absorbe efectivo.</x:v>
      </x:c>
      <x:c r="D55" s="328" t="str">
        <x:v>[WATERFALL]
Resultado neto + partidas no caja ± clientes ± inventario ± proveedores ± otros = CFO
Cada barra explicará si libera o absorbe efectivo.</x:v>
      </x:c>
      <x:c r="E55" s="328" t="str">
        <x:v>[WATERFALL]
Resultado neto + partidas no caja ± clientes ± inventario ± proveedores ± otros = CFO
Cada barra explicará si libera o absorbe efectivo.</x:v>
      </x:c>
      <x:c r="F55" s="328" t="str">
        <x:v>[WATERFALL]
Resultado neto + partidas no caja ± clientes ± inventario ± proveedores ± otros = CFO
Cada barra explicará si libera o absorbe efectivo.</x:v>
      </x:c>
      <x:c r="G55" s="328" t="str">
        <x:v>[WATERFALL]
Resultado neto + partidas no caja ± clientes ± inventario ± proveedores ± otros = CFO
Cada barra explicará si libera o absorbe efectivo.</x:v>
      </x:c>
      <x:c r="H55" s="328" t="str">
        <x:v>[BARRAS DIVERGENTES]
AR · Inventario · Otros activos · AP · Devengos · Impuestos
Abr–Ago 2025: -2,11 M€</x:v>
      </x:c>
      <x:c r="I55" s="328" t="str">
        <x:v>[BARRAS DIVERGENTES]
AR · Inventario · Otros activos · AP · Devengos · Impuestos
Abr–Ago 2025: -2,11 M€</x:v>
      </x:c>
      <x:c r="J55" s="328" t="str">
        <x:v>[BARRAS DIVERGENTES]
AR · Inventario · Otros activos · AP · Devengos · Impuestos
Abr–Ago 2025: -2,11 M€</x:v>
      </x:c>
      <x:c r="K55" s="328" t="str">
        <x:v>[BARRAS DIVERGENTES]
AR · Inventario · Otros activos · AP · Devengos · Impuestos
Abr–Ago 2025: -2,11 M€</x:v>
      </x:c>
      <x:c r="L55" s="328" t="str">
        <x:v>[BARRAS DIVERGENTES]
AR · Inventario · Otros activos · AP · Devengos · Impuestos
Abr–Ago 2025: -2,11 M€</x:v>
      </x:c>
    </x:row>
    <x:row r="56">
      <x:c r="A56" s="328" t="str">
        <x:v>[WATERFALL]
Resultado neto + partidas no caja ± clientes ± inventario ± proveedores ± otros = CFO
Cada barra explicará si libera o absorbe efectivo.</x:v>
      </x:c>
      <x:c r="B56" s="328" t="str">
        <x:v>[WATERFALL]
Resultado neto + partidas no caja ± clientes ± inventario ± proveedores ± otros = CFO
Cada barra explicará si libera o absorbe efectivo.</x:v>
      </x:c>
      <x:c r="C56" s="328" t="str">
        <x:v>[WATERFALL]
Resultado neto + partidas no caja ± clientes ± inventario ± proveedores ± otros = CFO
Cada barra explicará si libera o absorbe efectivo.</x:v>
      </x:c>
      <x:c r="D56" s="328" t="str">
        <x:v>[WATERFALL]
Resultado neto + partidas no caja ± clientes ± inventario ± proveedores ± otros = CFO
Cada barra explicará si libera o absorbe efectivo.</x:v>
      </x:c>
      <x:c r="E56" s="328" t="str">
        <x:v>[WATERFALL]
Resultado neto + partidas no caja ± clientes ± inventario ± proveedores ± otros = CFO
Cada barra explicará si libera o absorbe efectivo.</x:v>
      </x:c>
      <x:c r="F56" s="328" t="str">
        <x:v>[WATERFALL]
Resultado neto + partidas no caja ± clientes ± inventario ± proveedores ± otros = CFO
Cada barra explicará si libera o absorbe efectivo.</x:v>
      </x:c>
      <x:c r="G56" s="328" t="str">
        <x:v>[WATERFALL]
Resultado neto + partidas no caja ± clientes ± inventario ± proveedores ± otros = CFO
Cada barra explicará si libera o absorbe efectivo.</x:v>
      </x:c>
      <x:c r="H56" s="328" t="str">
        <x:v>[BARRAS DIVERGENTES]
AR · Inventario · Otros activos · AP · Devengos · Impuestos
Abr–Ago 2025: -2,11 M€</x:v>
      </x:c>
      <x:c r="I56" s="328" t="str">
        <x:v>[BARRAS DIVERGENTES]
AR · Inventario · Otros activos · AP · Devengos · Impuestos
Abr–Ago 2025: -2,11 M€</x:v>
      </x:c>
      <x:c r="J56" s="328" t="str">
        <x:v>[BARRAS DIVERGENTES]
AR · Inventario · Otros activos · AP · Devengos · Impuestos
Abr–Ago 2025: -2,11 M€</x:v>
      </x:c>
      <x:c r="K56" s="328" t="str">
        <x:v>[BARRAS DIVERGENTES]
AR · Inventario · Otros activos · AP · Devengos · Impuestos
Abr–Ago 2025: -2,11 M€</x:v>
      </x:c>
      <x:c r="L56" s="328" t="str">
        <x:v>[BARRAS DIVERGENTES]
AR · Inventario · Otros activos · AP · Devengos · Impuestos
Abr–Ago 2025: -2,11 M€</x:v>
      </x:c>
    </x:row>
    <x:row r="57">
      <x:c r="A57" s="328" t="str">
        <x:v>[WATERFALL]
Resultado neto + partidas no caja ± clientes ± inventario ± proveedores ± otros = CFO
Cada barra explicará si libera o absorbe efectivo.</x:v>
      </x:c>
      <x:c r="B57" s="328" t="str">
        <x:v>[WATERFALL]
Resultado neto + partidas no caja ± clientes ± inventario ± proveedores ± otros = CFO
Cada barra explicará si libera o absorbe efectivo.</x:v>
      </x:c>
      <x:c r="C57" s="328" t="str">
        <x:v>[WATERFALL]
Resultado neto + partidas no caja ± clientes ± inventario ± proveedores ± otros = CFO
Cada barra explicará si libera o absorbe efectivo.</x:v>
      </x:c>
      <x:c r="D57" s="328" t="str">
        <x:v>[WATERFALL]
Resultado neto + partidas no caja ± clientes ± inventario ± proveedores ± otros = CFO
Cada barra explicará si libera o absorbe efectivo.</x:v>
      </x:c>
      <x:c r="E57" s="328" t="str">
        <x:v>[WATERFALL]
Resultado neto + partidas no caja ± clientes ± inventario ± proveedores ± otros = CFO
Cada barra explicará si libera o absorbe efectivo.</x:v>
      </x:c>
      <x:c r="F57" s="328" t="str">
        <x:v>[WATERFALL]
Resultado neto + partidas no caja ± clientes ± inventario ± proveedores ± otros = CFO
Cada barra explicará si libera o absorbe efectivo.</x:v>
      </x:c>
      <x:c r="G57" s="328" t="str">
        <x:v>[WATERFALL]
Resultado neto + partidas no caja ± clientes ± inventario ± proveedores ± otros = CFO
Cada barra explicará si libera o absorbe efectivo.</x:v>
      </x:c>
      <x:c r="H57" s="328" t="str">
        <x:v>[BARRAS DIVERGENTES]
AR · Inventario · Otros activos · AP · Devengos · Impuestos
Abr–Ago 2025: -2,11 M€</x:v>
      </x:c>
      <x:c r="I57" s="328" t="str">
        <x:v>[BARRAS DIVERGENTES]
AR · Inventario · Otros activos · AP · Devengos · Impuestos
Abr–Ago 2025: -2,11 M€</x:v>
      </x:c>
      <x:c r="J57" s="328" t="str">
        <x:v>[BARRAS DIVERGENTES]
AR · Inventario · Otros activos · AP · Devengos · Impuestos
Abr–Ago 2025: -2,11 M€</x:v>
      </x:c>
      <x:c r="K57" s="328" t="str">
        <x:v>[BARRAS DIVERGENTES]
AR · Inventario · Otros activos · AP · Devengos · Impuestos
Abr–Ago 2025: -2,11 M€</x:v>
      </x:c>
      <x:c r="L57" s="328" t="str">
        <x:v>[BARRAS DIVERGENTES]
AR · Inventario · Otros activos · AP · Devengos · Impuestos
Abr–Ago 2025: -2,11 M€</x:v>
      </x:c>
    </x:row>
    <x:row r="58">
      <x:c r="A58" s="328" t="str">
        <x:v>[WATERFALL]
Resultado neto + partidas no caja ± clientes ± inventario ± proveedores ± otros = CFO
Cada barra explicará si libera o absorbe efectivo.</x:v>
      </x:c>
      <x:c r="B58" s="328" t="str">
        <x:v>[WATERFALL]
Resultado neto + partidas no caja ± clientes ± inventario ± proveedores ± otros = CFO
Cada barra explicará si libera o absorbe efectivo.</x:v>
      </x:c>
      <x:c r="C58" s="328" t="str">
        <x:v>[WATERFALL]
Resultado neto + partidas no caja ± clientes ± inventario ± proveedores ± otros = CFO
Cada barra explicará si libera o absorbe efectivo.</x:v>
      </x:c>
      <x:c r="D58" s="328" t="str">
        <x:v>[WATERFALL]
Resultado neto + partidas no caja ± clientes ± inventario ± proveedores ± otros = CFO
Cada barra explicará si libera o absorbe efectivo.</x:v>
      </x:c>
      <x:c r="E58" s="328" t="str">
        <x:v>[WATERFALL]
Resultado neto + partidas no caja ± clientes ± inventario ± proveedores ± otros = CFO
Cada barra explicará si libera o absorbe efectivo.</x:v>
      </x:c>
      <x:c r="F58" s="328" t="str">
        <x:v>[WATERFALL]
Resultado neto + partidas no caja ± clientes ± inventario ± proveedores ± otros = CFO
Cada barra explicará si libera o absorbe efectivo.</x:v>
      </x:c>
      <x:c r="G58" s="328" t="str">
        <x:v>[WATERFALL]
Resultado neto + partidas no caja ± clientes ± inventario ± proveedores ± otros = CFO
Cada barra explicará si libera o absorbe efectivo.</x:v>
      </x:c>
      <x:c r="H58" s="328" t="str">
        <x:v>[BARRAS DIVERGENTES]
AR · Inventario · Otros activos · AP · Devengos · Impuestos
Abr–Ago 2025: -2,11 M€</x:v>
      </x:c>
      <x:c r="I58" s="328" t="str">
        <x:v>[BARRAS DIVERGENTES]
AR · Inventario · Otros activos · AP · Devengos · Impuestos
Abr–Ago 2025: -2,11 M€</x:v>
      </x:c>
      <x:c r="J58" s="328" t="str">
        <x:v>[BARRAS DIVERGENTES]
AR · Inventario · Otros activos · AP · Devengos · Impuestos
Abr–Ago 2025: -2,11 M€</x:v>
      </x:c>
      <x:c r="K58" s="328" t="str">
        <x:v>[BARRAS DIVERGENTES]
AR · Inventario · Otros activos · AP · Devengos · Impuestos
Abr–Ago 2025: -2,11 M€</x:v>
      </x:c>
      <x:c r="L58" s="328" t="str">
        <x:v>[BARRAS DIVERGENTES]
AR · Inventario · Otros activos · AP · Devengos · Impuestos
Abr–Ago 2025: -2,11 M€</x:v>
      </x:c>
    </x:row>
    <x:row r="59">
      <x:c r="A59" s="305"/>
      <x:c r="B59" s="305"/>
      <x:c r="C59" s="305"/>
      <x:c r="D59" s="305"/>
      <x:c r="E59" s="305"/>
      <x:c r="F59" s="305"/>
      <x:c r="G59" s="305"/>
      <x:c r="H59" s="305"/>
      <x:c r="I59" s="305"/>
      <x:c r="J59" s="305"/>
      <x:c r="K59" s="305"/>
      <x:c r="L59" s="305"/>
    </x:row>
    <x:row r="60">
      <x:c r="A60" s="332" t="str">
        <x:v>Decisión y acción</x:v>
      </x:c>
      <x:c r="B60" s="332" t="str">
        <x:v>Decisión y acción</x:v>
      </x:c>
      <x:c r="C60" s="332" t="str">
        <x:v>Decisión y acción</x:v>
      </x:c>
      <x:c r="D60" s="332" t="str">
        <x:v>Decisión y acción</x:v>
      </x:c>
      <x:c r="E60" s="332" t="str">
        <x:v>Decisión y acción</x:v>
      </x:c>
      <x:c r="F60" s="332" t="str">
        <x:v>Decisión y acción</x:v>
      </x:c>
      <x:c r="G60" s="332" t="str">
        <x:v>Decisión y acción</x:v>
      </x:c>
      <x:c r="H60" s="332" t="str">
        <x:v>Decisión y acción</x:v>
      </x:c>
      <x:c r="I60" s="332" t="str">
        <x:v>Decisión y acción</x:v>
      </x:c>
      <x:c r="J60" s="332" t="str">
        <x:v>Decisión y acción</x:v>
      </x:c>
      <x:c r="K60" s="332" t="str">
        <x:v>Decisión y acción</x:v>
      </x:c>
      <x:c r="L60" s="332" t="str">
        <x:v>Decisión y acción</x:v>
      </x:c>
    </x:row>
    <x:row r="61">
      <x:c r="A61" s="337" t="str">
        <x:v>Priorizar cobros e inventario; utilizar condiciones de pago como palanca complementaria. Los umbrales son orientativos y no sustituyen el aging de clientes/proveedores.</x:v>
      </x:c>
      <x:c r="B61" s="337" t="str">
        <x:v>Priorizar cobros e inventario; utilizar condiciones de pago como palanca complementaria. Los umbrales son orientativos y no sustituyen el aging de clientes/proveedores.</x:v>
      </x:c>
      <x:c r="C61" s="337" t="str">
        <x:v>Priorizar cobros e inventario; utilizar condiciones de pago como palanca complementaria. Los umbrales son orientativos y no sustituyen el aging de clientes/proveedores.</x:v>
      </x:c>
      <x:c r="D61" s="337" t="str">
        <x:v>Priorizar cobros e inventario; utilizar condiciones de pago como palanca complementaria. Los umbrales son orientativos y no sustituyen el aging de clientes/proveedores.</x:v>
      </x:c>
      <x:c r="E61" s="337" t="str">
        <x:v>Priorizar cobros e inventario; utilizar condiciones de pago como palanca complementaria. Los umbrales son orientativos y no sustituyen el aging de clientes/proveedores.</x:v>
      </x:c>
      <x:c r="F61" s="337" t="str">
        <x:v>Priorizar cobros e inventario; utilizar condiciones de pago como palanca complementaria. Los umbrales son orientativos y no sustituyen el aging de clientes/proveedores.</x:v>
      </x:c>
      <x:c r="G61" s="337" t="str">
        <x:v>Priorizar cobros e inventario; utilizar condiciones de pago como palanca complementaria. Los umbrales son orientativos y no sustituyen el aging de clientes/proveedores.</x:v>
      </x:c>
      <x:c r="H61" s="337" t="str">
        <x:v>Priorizar cobros e inventario; utilizar condiciones de pago como palanca complementaria. Los umbrales son orientativos y no sustituyen el aging de clientes/proveedores.</x:v>
      </x:c>
      <x:c r="I61" s="337" t="str">
        <x:v>Priorizar cobros e inventario; utilizar condiciones de pago como palanca complementaria. Los umbrales son orientativos y no sustituyen el aging de clientes/proveedores.</x:v>
      </x:c>
      <x:c r="J61" s="337" t="str">
        <x:v>Priorizar cobros e inventario; utilizar condiciones de pago como palanca complementaria. Los umbrales son orientativos y no sustituyen el aging de clientes/proveedores.</x:v>
      </x:c>
      <x:c r="K61" s="337" t="str">
        <x:v>Priorizar cobros e inventario; utilizar condiciones de pago como palanca complementaria. Los umbrales son orientativos y no sustituyen el aging de clientes/proveedores.</x:v>
      </x:c>
      <x:c r="L61" s="337" t="str">
        <x:v>Priorizar cobros e inventario; utilizar condiciones de pago como palanca complementaria. Los umbrales son orientativos y no sustituyen el aging de clientes/proveedores.</x:v>
      </x:c>
    </x:row>
    <x:row r="62">
      <x:c r="A62" s="337" t="str">
        <x:v>Priorizar cobros e inventario; utilizar condiciones de pago como palanca complementaria. Los umbrales son orientativos y no sustituyen el aging de clientes/proveedores.</x:v>
      </x:c>
      <x:c r="B62" s="337" t="str">
        <x:v>Priorizar cobros e inventario; utilizar condiciones de pago como palanca complementaria. Los umbrales son orientativos y no sustituyen el aging de clientes/proveedores.</x:v>
      </x:c>
      <x:c r="C62" s="337" t="str">
        <x:v>Priorizar cobros e inventario; utilizar condiciones de pago como palanca complementaria. Los umbrales son orientativos y no sustituyen el aging de clientes/proveedores.</x:v>
      </x:c>
      <x:c r="D62" s="337" t="str">
        <x:v>Priorizar cobros e inventario; utilizar condiciones de pago como palanca complementaria. Los umbrales son orientativos y no sustituyen el aging de clientes/proveedores.</x:v>
      </x:c>
      <x:c r="E62" s="337" t="str">
        <x:v>Priorizar cobros e inventario; utilizar condiciones de pago como palanca complementaria. Los umbrales son orientativos y no sustituyen el aging de clientes/proveedores.</x:v>
      </x:c>
      <x:c r="F62" s="337" t="str">
        <x:v>Priorizar cobros e inventario; utilizar condiciones de pago como palanca complementaria. Los umbrales son orientativos y no sustituyen el aging de clientes/proveedores.</x:v>
      </x:c>
      <x:c r="G62" s="337" t="str">
        <x:v>Priorizar cobros e inventario; utilizar condiciones de pago como palanca complementaria. Los umbrales son orientativos y no sustituyen el aging de clientes/proveedores.</x:v>
      </x:c>
      <x:c r="H62" s="337" t="str">
        <x:v>Priorizar cobros e inventario; utilizar condiciones de pago como palanca complementaria. Los umbrales son orientativos y no sustituyen el aging de clientes/proveedores.</x:v>
      </x:c>
      <x:c r="I62" s="337" t="str">
        <x:v>Priorizar cobros e inventario; utilizar condiciones de pago como palanca complementaria. Los umbrales son orientativos y no sustituyen el aging de clientes/proveedores.</x:v>
      </x:c>
      <x:c r="J62" s="337" t="str">
        <x:v>Priorizar cobros e inventario; utilizar condiciones de pago como palanca complementaria. Los umbrales son orientativos y no sustituyen el aging de clientes/proveedores.</x:v>
      </x:c>
      <x:c r="K62" s="337" t="str">
        <x:v>Priorizar cobros e inventario; utilizar condiciones de pago como palanca complementaria. Los umbrales son orientativos y no sustituyen el aging de clientes/proveedores.</x:v>
      </x:c>
      <x:c r="L62" s="337" t="str">
        <x:v>Priorizar cobros e inventario; utilizar condiciones de pago como palanca complementaria. Los umbrales son orientativos y no sustituyen el aging de clientes/proveedores.</x:v>
      </x:c>
    </x:row>
    <x:row r="63">
      <x:c r="A63" s="337" t="str">
        <x:v>Priorizar cobros e inventario; utilizar condiciones de pago como palanca complementaria. Los umbrales son orientativos y no sustituyen el aging de clientes/proveedores.</x:v>
      </x:c>
      <x:c r="B63" s="337" t="str">
        <x:v>Priorizar cobros e inventario; utilizar condiciones de pago como palanca complementaria. Los umbrales son orientativos y no sustituyen el aging de clientes/proveedores.</x:v>
      </x:c>
      <x:c r="C63" s="337" t="str">
        <x:v>Priorizar cobros e inventario; utilizar condiciones de pago como palanca complementaria. Los umbrales son orientativos y no sustituyen el aging de clientes/proveedores.</x:v>
      </x:c>
      <x:c r="D63" s="337" t="str">
        <x:v>Priorizar cobros e inventario; utilizar condiciones de pago como palanca complementaria. Los umbrales son orientativos y no sustituyen el aging de clientes/proveedores.</x:v>
      </x:c>
      <x:c r="E63" s="337" t="str">
        <x:v>Priorizar cobros e inventario; utilizar condiciones de pago como palanca complementaria. Los umbrales son orientativos y no sustituyen el aging de clientes/proveedores.</x:v>
      </x:c>
      <x:c r="F63" s="337" t="str">
        <x:v>Priorizar cobros e inventario; utilizar condiciones de pago como palanca complementaria. Los umbrales son orientativos y no sustituyen el aging de clientes/proveedores.</x:v>
      </x:c>
      <x:c r="G63" s="337" t="str">
        <x:v>Priorizar cobros e inventario; utilizar condiciones de pago como palanca complementaria. Los umbrales son orientativos y no sustituyen el aging de clientes/proveedores.</x:v>
      </x:c>
      <x:c r="H63" s="337" t="str">
        <x:v>Priorizar cobros e inventario; utilizar condiciones de pago como palanca complementaria. Los umbrales son orientativos y no sustituyen el aging de clientes/proveedores.</x:v>
      </x:c>
      <x:c r="I63" s="337" t="str">
        <x:v>Priorizar cobros e inventario; utilizar condiciones de pago como palanca complementaria. Los umbrales son orientativos y no sustituyen el aging de clientes/proveedores.</x:v>
      </x:c>
      <x:c r="J63" s="337" t="str">
        <x:v>Priorizar cobros e inventario; utilizar condiciones de pago como palanca complementaria. Los umbrales son orientativos y no sustituyen el aging de clientes/proveedores.</x:v>
      </x:c>
      <x:c r="K63" s="337" t="str">
        <x:v>Priorizar cobros e inventario; utilizar condiciones de pago como palanca complementaria. Los umbrales son orientativos y no sustituyen el aging de clientes/proveedores.</x:v>
      </x:c>
      <x:c r="L63" s="337" t="str">
        <x:v>Priorizar cobros e inventario; utilizar condiciones de pago como palanca complementaria. Los umbrales son orientativos y no sustituyen el aging de clientes/proveedores.</x:v>
      </x:c>
    </x:row>
    <x:row r="64">
      <x:c r="A64" s="305"/>
      <x:c r="B64" s="305"/>
      <x:c r="C64" s="305"/>
      <x:c r="D64" s="305"/>
      <x:c r="E64" s="305"/>
      <x:c r="F64" s="305"/>
      <x:c r="G64" s="305"/>
      <x:c r="H64" s="305"/>
      <x:c r="I64" s="305"/>
      <x:c r="J64" s="305"/>
      <x:c r="K64" s="305"/>
      <x:c r="L64" s="305"/>
    </x:row>
    <x:row r="65">
      <x:c r="A65" s="305"/>
      <x:c r="B65" s="305"/>
      <x:c r="C65" s="305"/>
      <x:c r="D65" s="305"/>
      <x:c r="E65" s="305"/>
      <x:c r="F65" s="305"/>
      <x:c r="G65" s="305"/>
      <x:c r="H65" s="305"/>
      <x:c r="I65" s="305"/>
      <x:c r="J65" s="305"/>
      <x:c r="K65" s="305"/>
      <x:c r="L65" s="305"/>
    </x:row>
    <x:row r="66">
      <x:c r="A66" s="305"/>
      <x:c r="B66" s="305"/>
      <x:c r="C66" s="305"/>
      <x:c r="D66" s="305"/>
      <x:c r="E66" s="305"/>
      <x:c r="F66" s="305"/>
      <x:c r="G66" s="305"/>
      <x:c r="H66" s="305"/>
      <x:c r="I66" s="305"/>
      <x:c r="J66" s="305"/>
      <x:c r="K66" s="305"/>
      <x:c r="L66" s="305"/>
    </x:row>
    <x:row r="67">
      <x:c r="A67" s="305"/>
      <x:c r="B67" s="305"/>
      <x:c r="C67" s="305"/>
      <x:c r="D67" s="305"/>
      <x:c r="E67" s="305"/>
      <x:c r="F67" s="305"/>
      <x:c r="G67" s="305"/>
      <x:c r="H67" s="305"/>
      <x:c r="I67" s="305"/>
      <x:c r="J67" s="305"/>
      <x:c r="K67" s="305"/>
      <x:c r="L67" s="305"/>
    </x:row>
    <x:row r="68" ht="34" customHeight="1">
      <x:c r="A68" s="307" t="str">
        <x:v>03 · Liquidez, financiación e inversión</x:v>
      </x:c>
      <x:c r="B68" s="307" t="str">
        <x:v>03 · Liquidez, financiación e inversión</x:v>
      </x:c>
      <x:c r="C68" s="307" t="str">
        <x:v>03 · Liquidez, financiación e inversión</x:v>
      </x:c>
      <x:c r="D68" s="307" t="str">
        <x:v>03 · Liquidez, financiación e inversión</x:v>
      </x:c>
      <x:c r="E68" s="307" t="str">
        <x:v>03 · Liquidez, financiación e inversión</x:v>
      </x:c>
      <x:c r="F68" s="307" t="str">
        <x:v>03 · Liquidez, financiación e inversión</x:v>
      </x:c>
      <x:c r="G68" s="307" t="str">
        <x:v>03 · Liquidez, financiación e inversión</x:v>
      </x:c>
      <x:c r="H68" s="307" t="str">
        <x:v>03 · Liquidez, financiación e inversión</x:v>
      </x:c>
      <x:c r="I68" s="307" t="str">
        <x:v>03 · Liquidez, financiación e inversión</x:v>
      </x:c>
      <x:c r="J68" s="307" t="str">
        <x:v>03 · Liquidez, financiación e inversión</x:v>
      </x:c>
      <x:c r="K68" s="307" t="str">
        <x:v>03 · Liquidez, financiación e inversión</x:v>
      </x:c>
      <x:c r="L68" s="307" t="str">
        <x:v>03 · Liquidez, financiación e inversión</x:v>
      </x:c>
    </x:row>
    <x:row r="69" ht="28" customHeight="1">
      <x:c r="A69" s="310" t="str">
        <x:v>¿Puede la empresa invertir y atender su deuda sin debilitar la liquidez?</x:v>
      </x:c>
      <x:c r="B69" s="310" t="str">
        <x:v>¿Puede la empresa invertir y atender su deuda sin debilitar la liquidez?</x:v>
      </x:c>
      <x:c r="C69" s="310" t="str">
        <x:v>¿Puede la empresa invertir y atender su deuda sin debilitar la liquidez?</x:v>
      </x:c>
      <x:c r="D69" s="310" t="str">
        <x:v>¿Puede la empresa invertir y atender su deuda sin debilitar la liquidez?</x:v>
      </x:c>
      <x:c r="E69" s="310" t="str">
        <x:v>¿Puede la empresa invertir y atender su deuda sin debilitar la liquidez?</x:v>
      </x:c>
      <x:c r="F69" s="310" t="str">
        <x:v>¿Puede la empresa invertir y atender su deuda sin debilitar la liquidez?</x:v>
      </x:c>
      <x:c r="G69" s="310" t="str">
        <x:v>¿Puede la empresa invertir y atender su deuda sin debilitar la liquidez?</x:v>
      </x:c>
      <x:c r="H69" s="310" t="str">
        <x:v>¿Puede la empresa invertir y atender su deuda sin debilitar la liquidez?</x:v>
      </x:c>
      <x:c r="I69" s="310" t="str">
        <x:v>¿Puede la empresa invertir y atender su deuda sin debilitar la liquidez?</x:v>
      </x:c>
      <x:c r="J69" s="310" t="str">
        <x:v>¿Puede la empresa invertir y atender su deuda sin debilitar la liquidez?</x:v>
      </x:c>
      <x:c r="K69" s="310" t="str">
        <x:v>¿Puede la empresa invertir y atender su deuda sin debilitar la liquidez?</x:v>
      </x:c>
      <x:c r="L69" s="310" t="str">
        <x:v>¿Puede la empresa invertir y atender su deuda sin debilitar la liquidez?</x:v>
      </x:c>
    </x:row>
    <x:row r="70">
      <x:c r="A70" s="305"/>
      <x:c r="B70" s="305"/>
      <x:c r="C70" s="305"/>
      <x:c r="D70" s="305"/>
      <x:c r="E70" s="305"/>
      <x:c r="F70" s="305"/>
      <x:c r="G70" s="305"/>
      <x:c r="H70" s="305"/>
      <x:c r="I70" s="305"/>
      <x:c r="J70" s="305"/>
      <x:c r="K70" s="305"/>
      <x:c r="L70" s="305"/>
    </x:row>
    <x:row r="71" ht="26" customHeight="1">
      <x:c r="A71" s="312" t="str">
        <x:v>Periodo: 2026 LTM  ▾</x:v>
      </x:c>
      <x:c r="B71" s="312" t="str">
        <x:v>Periodo: 2026 LTM  ▾</x:v>
      </x:c>
      <x:c r="C71" s="312" t="str">
        <x:v>Periodo: 2026 LTM  ▾</x:v>
      </x:c>
      <x:c r="D71" s="312" t="str">
        <x:v>Periodo: 2026 LTM  ▾</x:v>
      </x:c>
      <x:c r="E71" s="312" t="str">
        <x:v>Comparación: 2025  ▾</x:v>
      </x:c>
      <x:c r="F71" s="312" t="str">
        <x:v>Comparación: 2025  ▾</x:v>
      </x:c>
      <x:c r="G71" s="312" t="str">
        <x:v>Comparación: 2025  ▾</x:v>
      </x:c>
      <x:c r="H71" s="312" t="str">
        <x:v>Comparación: 2025  ▾</x:v>
      </x:c>
      <x:c r="I71" s="312" t="str">
        <x:v>Mensual / Anual</x:v>
      </x:c>
      <x:c r="J71" s="312" t="str">
        <x:v>Mensual / Anual</x:v>
      </x:c>
      <x:c r="K71" s="312" t="str">
        <x:v>Restablecer</x:v>
      </x:c>
      <x:c r="L71" s="312" t="str">
        <x:v>Restablecer</x:v>
      </x:c>
    </x:row>
    <x:row r="72">
      <x:c r="A72" s="305"/>
      <x:c r="B72" s="305"/>
      <x:c r="C72" s="305"/>
      <x:c r="D72" s="305"/>
      <x:c r="E72" s="305"/>
      <x:c r="F72" s="305"/>
      <x:c r="G72" s="305"/>
      <x:c r="H72" s="305"/>
      <x:c r="I72" s="305"/>
      <x:c r="J72" s="305"/>
      <x:c r="K72" s="305"/>
      <x:c r="L72" s="305"/>
    </x:row>
    <x:row r="73">
      <x:c r="A73" s="315" t="str">
        <x:v>Efectivo</x:v>
      </x:c>
      <x:c r="B73" s="315" t="str">
        <x:v>Efectivo</x:v>
      </x:c>
      <x:c r="C73" s="315" t="str">
        <x:v>Efectivo</x:v>
      </x:c>
      <x:c r="D73" s="315" t="str">
        <x:v>Current ratio</x:v>
      </x:c>
      <x:c r="E73" s="315" t="str">
        <x:v>Current ratio</x:v>
      </x:c>
      <x:c r="F73" s="315" t="str">
        <x:v>Current ratio</x:v>
      </x:c>
      <x:c r="G73" s="315" t="str">
        <x:v>Quick ratio</x:v>
      </x:c>
      <x:c r="H73" s="315" t="str">
        <x:v>Quick ratio</x:v>
      </x:c>
      <x:c r="I73" s="315" t="str">
        <x:v>Quick ratio</x:v>
      </x:c>
      <x:c r="J73" s="315" t="str">
        <x:v>Cobertura de intereses</x:v>
      </x:c>
      <x:c r="K73" s="315" t="str">
        <x:v>Cobertura de intereses</x:v>
      </x:c>
      <x:c r="L73" s="315" t="str">
        <x:v>Cobertura de intereses</x:v>
      </x:c>
    </x:row>
    <x:row r="74">
      <x:c r="A74" s="318" t="str">
        <x:v>8,05 M€</x:v>
      </x:c>
      <x:c r="B74" s="318" t="str">
        <x:v>8,05 M€</x:v>
      </x:c>
      <x:c r="C74" s="318" t="str">
        <x:v>8,05 M€</x:v>
      </x:c>
      <x:c r="D74" s="318" t="str">
        <x:v>2,95x</x:v>
      </x:c>
      <x:c r="E74" s="318" t="str">
        <x:v>2,95x</x:v>
      </x:c>
      <x:c r="F74" s="318" t="str">
        <x:v>2,95x</x:v>
      </x:c>
      <x:c r="G74" s="318" t="str">
        <x:v>2,23x</x:v>
      </x:c>
      <x:c r="H74" s="318" t="str">
        <x:v>2,23x</x:v>
      </x:c>
      <x:c r="I74" s="318" t="str">
        <x:v>2,23x</x:v>
      </x:c>
      <x:c r="J74" s="318" t="str">
        <x:v>11,79x</x:v>
      </x:c>
      <x:c r="K74" s="318" t="str">
        <x:v>11,79x</x:v>
      </x:c>
      <x:c r="L74" s="318" t="str">
        <x:v>11,79x</x:v>
      </x:c>
    </x:row>
    <x:row r="75">
      <x:c r="A75" s="318" t="str">
        <x:v>8,05 M€</x:v>
      </x:c>
      <x:c r="B75" s="318" t="str">
        <x:v>8,05 M€</x:v>
      </x:c>
      <x:c r="C75" s="318" t="str">
        <x:v>8,05 M€</x:v>
      </x:c>
      <x:c r="D75" s="318" t="str">
        <x:v>2,95x</x:v>
      </x:c>
      <x:c r="E75" s="318" t="str">
        <x:v>2,95x</x:v>
      </x:c>
      <x:c r="F75" s="318" t="str">
        <x:v>2,95x</x:v>
      </x:c>
      <x:c r="G75" s="318" t="str">
        <x:v>2,23x</x:v>
      </x:c>
      <x:c r="H75" s="318" t="str">
        <x:v>2,23x</x:v>
      </x:c>
      <x:c r="I75" s="318" t="str">
        <x:v>2,23x</x:v>
      </x:c>
      <x:c r="J75" s="318" t="str">
        <x:v>11,79x</x:v>
      </x:c>
      <x:c r="K75" s="318" t="str">
        <x:v>11,79x</x:v>
      </x:c>
      <x:c r="L75" s="318" t="str">
        <x:v>11,79x</x:v>
      </x:c>
    </x:row>
    <x:row r="76">
      <x:c r="A76" s="322" t="str">
        <x:v>Cierre 2026</x:v>
      </x:c>
      <x:c r="B76" s="322" t="str">
        <x:v>Cierre 2026</x:v>
      </x:c>
      <x:c r="C76" s="322" t="str">
        <x:v>Cierre 2026</x:v>
      </x:c>
      <x:c r="D76" s="322" t="str">
        <x:v>Cobertura corriente</x:v>
      </x:c>
      <x:c r="E76" s="322" t="str">
        <x:v>Cobertura corriente</x:v>
      </x:c>
      <x:c r="F76" s="322" t="str">
        <x:v>Cobertura corriente</x:v>
      </x:c>
      <x:c r="G76" s="322" t="str">
        <x:v>Sin inventario</x:v>
      </x:c>
      <x:c r="H76" s="322" t="str">
        <x:v>Sin inventario</x:v>
      </x:c>
      <x:c r="I76" s="322" t="str">
        <x:v>Sin inventario</x:v>
      </x:c>
      <x:c r="J76" s="322" t="str">
        <x:v>Capacidad de servicio</x:v>
      </x:c>
      <x:c r="K76" s="322" t="str">
        <x:v>Capacidad de servicio</x:v>
      </x:c>
      <x:c r="L76" s="322" t="str">
        <x:v>Capacidad de servicio</x:v>
      </x:c>
    </x:row>
    <x:row r="77">
      <x:c r="A77" s="305"/>
      <x:c r="B77" s="305"/>
      <x:c r="C77" s="305"/>
      <x:c r="D77" s="305"/>
      <x:c r="E77" s="305"/>
      <x:c r="F77" s="305"/>
      <x:c r="G77" s="305"/>
      <x:c r="H77" s="305"/>
      <x:c r="I77" s="305"/>
      <x:c r="J77" s="305"/>
      <x:c r="K77" s="305"/>
      <x:c r="L77" s="305"/>
    </x:row>
    <x:row r="78">
      <x:c r="A78" s="315" t="str">
        <x:v>Free cash flow</x:v>
      </x:c>
      <x:c r="B78" s="315" t="str">
        <x:v>Free cash flow</x:v>
      </x:c>
      <x:c r="C78" s="315" t="str">
        <x:v>Free cash flow</x:v>
      </x:c>
      <x:c r="D78" s="315" t="str">
        <x:v>Posición financiera neta</x:v>
      </x:c>
      <x:c r="E78" s="315" t="str">
        <x:v>Posición financiera neta</x:v>
      </x:c>
      <x:c r="F78" s="315" t="str">
        <x:v>Posición financiera neta</x:v>
      </x:c>
      <x:c r="G78" s="315" t="str">
        <x:v>CAPEX Sep-2026</x:v>
      </x:c>
      <x:c r="H78" s="315" t="str">
        <x:v>CAPEX Sep-2026</x:v>
      </x:c>
      <x:c r="I78" s="315" t="str">
        <x:v>CAPEX Sep-2026</x:v>
      </x:c>
      <x:c r="J78" s="315" t="str">
        <x:v>FCF Sep-2026</x:v>
      </x:c>
      <x:c r="K78" s="315" t="str">
        <x:v>FCF Sep-2026</x:v>
      </x:c>
      <x:c r="L78" s="315" t="str">
        <x:v>FCF Sep-2026</x:v>
      </x:c>
    </x:row>
    <x:row r="79">
      <x:c r="A79" s="318" t="str">
        <x:v>4,03 M€</x:v>
      </x:c>
      <x:c r="B79" s="318" t="str">
        <x:v>4,03 M€</x:v>
      </x:c>
      <x:c r="C79" s="318" t="str">
        <x:v>4,03 M€</x:v>
      </x:c>
      <x:c r="D79" s="318" t="str">
        <x:v>+2,60 M€</x:v>
      </x:c>
      <x:c r="E79" s="318" t="str">
        <x:v>+2,60 M€</x:v>
      </x:c>
      <x:c r="F79" s="318" t="str">
        <x:v>+2,60 M€</x:v>
      </x:c>
      <x:c r="G79" s="318" t="str">
        <x:v>636 k€</x:v>
      </x:c>
      <x:c r="H79" s="318" t="str">
        <x:v>636 k€</x:v>
      </x:c>
      <x:c r="I79" s="318" t="str">
        <x:v>636 k€</x:v>
      </x:c>
      <x:c r="J79" s="318" t="str">
        <x:v>-1,03 M€</x:v>
      </x:c>
      <x:c r="K79" s="318" t="str">
        <x:v>-1,03 M€</x:v>
      </x:c>
      <x:c r="L79" s="318" t="str">
        <x:v>-1,03 M€</x:v>
      </x:c>
    </x:row>
    <x:row r="80">
      <x:c r="A80" s="318" t="str">
        <x:v>4,03 M€</x:v>
      </x:c>
      <x:c r="B80" s="318" t="str">
        <x:v>4,03 M€</x:v>
      </x:c>
      <x:c r="C80" s="318" t="str">
        <x:v>4,03 M€</x:v>
      </x:c>
      <x:c r="D80" s="318" t="str">
        <x:v>+2,60 M€</x:v>
      </x:c>
      <x:c r="E80" s="318" t="str">
        <x:v>+2,60 M€</x:v>
      </x:c>
      <x:c r="F80" s="318" t="str">
        <x:v>+2,60 M€</x:v>
      </x:c>
      <x:c r="G80" s="318" t="str">
        <x:v>636 k€</x:v>
      </x:c>
      <x:c r="H80" s="318" t="str">
        <x:v>636 k€</x:v>
      </x:c>
      <x:c r="I80" s="318" t="str">
        <x:v>636 k€</x:v>
      </x:c>
      <x:c r="J80" s="318" t="str">
        <x:v>-1,03 M€</x:v>
      </x:c>
      <x:c r="K80" s="318" t="str">
        <x:v>-1,03 M€</x:v>
      </x:c>
      <x:c r="L80" s="318" t="str">
        <x:v>-1,03 M€</x:v>
      </x:c>
    </x:row>
    <x:row r="81">
      <x:c r="A81" s="322" t="str">
        <x:v>2026</x:v>
      </x:c>
      <x:c r="B81" s="322" t="str">
        <x:v>2026</x:v>
      </x:c>
      <x:c r="C81" s="322" t="str">
        <x:v>2026</x:v>
      </x:c>
      <x:c r="D81" s="322" t="str">
        <x:v>Caja neta positiva</x:v>
      </x:c>
      <x:c r="E81" s="322" t="str">
        <x:v>Caja neta positiva</x:v>
      </x:c>
      <x:c r="F81" s="322" t="str">
        <x:v>Caja neta positiva</x:v>
      </x:c>
      <x:c r="G81" s="322" t="str">
        <x:v>Inversión relevante</x:v>
      </x:c>
      <x:c r="H81" s="322" t="str">
        <x:v>Inversión relevante</x:v>
      </x:c>
      <x:c r="I81" s="322" t="str">
        <x:v>Inversión relevante</x:v>
      </x:c>
      <x:c r="J81" s="322" t="str">
        <x:v>Revisar causa; no rojo automático</x:v>
      </x:c>
      <x:c r="K81" s="322" t="str">
        <x:v>Revisar causa; no rojo automático</x:v>
      </x:c>
      <x:c r="L81" s="322" t="str">
        <x:v>Revisar causa; no rojo automático</x:v>
      </x:c>
    </x:row>
    <x:row r="82">
      <x:c r="A82" s="305"/>
      <x:c r="B82" s="305"/>
      <x:c r="C82" s="305"/>
      <x:c r="D82" s="305"/>
      <x:c r="E82" s="305"/>
      <x:c r="F82" s="305"/>
      <x:c r="G82" s="305"/>
      <x:c r="H82" s="305"/>
      <x:c r="I82" s="305"/>
      <x:c r="J82" s="305"/>
      <x:c r="K82" s="305"/>
      <x:c r="L82" s="305"/>
    </x:row>
    <x:row r="83">
      <x:c r="A83" s="326" t="str">
        <x:v>Cómo se mueve la caja</x:v>
      </x:c>
      <x:c r="B83" s="326" t="str">
        <x:v>Cómo se mueve la caja</x:v>
      </x:c>
      <x:c r="C83" s="326" t="str">
        <x:v>Cómo se mueve la caja</x:v>
      </x:c>
      <x:c r="D83" s="326" t="str">
        <x:v>Cómo se mueve la caja</x:v>
      </x:c>
      <x:c r="E83" s="326" t="str">
        <x:v>Cómo se mueve la caja</x:v>
      </x:c>
      <x:c r="F83" s="326" t="str">
        <x:v>Cómo se mueve la caja</x:v>
      </x:c>
      <x:c r="G83" s="326" t="str">
        <x:v>Cómo se mueve la caja</x:v>
      </x:c>
      <x:c r="H83" s="326" t="str">
        <x:v>Efectivo frente a deuda y arrendamientos</x:v>
      </x:c>
      <x:c r="I83" s="326" t="str">
        <x:v>Efectivo frente a deuda y arrendamientos</x:v>
      </x:c>
      <x:c r="J83" s="326" t="str">
        <x:v>Efectivo frente a deuda y arrendamientos</x:v>
      </x:c>
      <x:c r="K83" s="326" t="str">
        <x:v>Efectivo frente a deuda y arrendamientos</x:v>
      </x:c>
      <x:c r="L83" s="326" t="str">
        <x:v>Efectivo frente a deuda y arrendamientos</x:v>
      </x:c>
    </x:row>
    <x:row r="84">
      <x:c r="A84" s="328" t="str">
        <x:v>[COLUMNAS + LÍNEA]
CFO · CFI · CFF + efectivo final
Diferencia explícita entre movimientos del mes y saldo acumulado de efectivo.</x:v>
      </x:c>
      <x:c r="B84" s="328" t="str">
        <x:v>[COLUMNAS + LÍNEA]
CFO · CFI · CFF + efectivo final
Diferencia explícita entre movimientos del mes y saldo acumulado de efectivo.</x:v>
      </x:c>
      <x:c r="C84" s="328" t="str">
        <x:v>[COLUMNAS + LÍNEA]
CFO · CFI · CFF + efectivo final
Diferencia explícita entre movimientos del mes y saldo acumulado de efectivo.</x:v>
      </x:c>
      <x:c r="D84" s="328" t="str">
        <x:v>[COLUMNAS + LÍNEA]
CFO · CFI · CFF + efectivo final
Diferencia explícita entre movimientos del mes y saldo acumulado de efectivo.</x:v>
      </x:c>
      <x:c r="E84" s="328" t="str">
        <x:v>[COLUMNAS + LÍNEA]
CFO · CFI · CFF + efectivo final
Diferencia explícita entre movimientos del mes y saldo acumulado de efectivo.</x:v>
      </x:c>
      <x:c r="F84" s="328" t="str">
        <x:v>[COLUMNAS + LÍNEA]
CFO · CFI · CFF + efectivo final
Diferencia explícita entre movimientos del mes y saldo acumulado de efectivo.</x:v>
      </x:c>
      <x:c r="G84" s="328" t="str">
        <x:v>[COLUMNAS + LÍNEA]
CFO · CFI · CFF + efectivo final
Diferencia explícita entre movimientos del mes y saldo acumulado de efectivo.</x:v>
      </x:c>
      <x:c r="H84" s="328" t="str">
        <x:v>[DOS LÍNEAS]
May-2025: disposición de deuda 1,10 M€ como colchón temporal.</x:v>
      </x:c>
      <x:c r="I84" s="328" t="str">
        <x:v>[DOS LÍNEAS]
May-2025: disposición de deuda 1,10 M€ como colchón temporal.</x:v>
      </x:c>
      <x:c r="J84" s="328" t="str">
        <x:v>[DOS LÍNEAS]
May-2025: disposición de deuda 1,10 M€ como colchón temporal.</x:v>
      </x:c>
      <x:c r="K84" s="328" t="str">
        <x:v>[DOS LÍNEAS]
May-2025: disposición de deuda 1,10 M€ como colchón temporal.</x:v>
      </x:c>
      <x:c r="L84" s="328" t="str">
        <x:v>[DOS LÍNEAS]
May-2025: disposición de deuda 1,10 M€ como colchón temporal.</x:v>
      </x:c>
    </x:row>
    <x:row r="85">
      <x:c r="A85" s="328" t="str">
        <x:v>[COLUMNAS + LÍNEA]
CFO · CFI · CFF + efectivo final
Diferencia explícita entre movimientos del mes y saldo acumulado de efectivo.</x:v>
      </x:c>
      <x:c r="B85" s="328" t="str">
        <x:v>[COLUMNAS + LÍNEA]
CFO · CFI · CFF + efectivo final
Diferencia explícita entre movimientos del mes y saldo acumulado de efectivo.</x:v>
      </x:c>
      <x:c r="C85" s="328" t="str">
        <x:v>[COLUMNAS + LÍNEA]
CFO · CFI · CFF + efectivo final
Diferencia explícita entre movimientos del mes y saldo acumulado de efectivo.</x:v>
      </x:c>
      <x:c r="D85" s="328" t="str">
        <x:v>[COLUMNAS + LÍNEA]
CFO · CFI · CFF + efectivo final
Diferencia explícita entre movimientos del mes y saldo acumulado de efectivo.</x:v>
      </x:c>
      <x:c r="E85" s="328" t="str">
        <x:v>[COLUMNAS + LÍNEA]
CFO · CFI · CFF + efectivo final
Diferencia explícita entre movimientos del mes y saldo acumulado de efectivo.</x:v>
      </x:c>
      <x:c r="F85" s="328" t="str">
        <x:v>[COLUMNAS + LÍNEA]
CFO · CFI · CFF + efectivo final
Diferencia explícita entre movimientos del mes y saldo acumulado de efectivo.</x:v>
      </x:c>
      <x:c r="G85" s="328" t="str">
        <x:v>[COLUMNAS + LÍNEA]
CFO · CFI · CFF + efectivo final
Diferencia explícita entre movimientos del mes y saldo acumulado de efectivo.</x:v>
      </x:c>
      <x:c r="H85" s="328" t="str">
        <x:v>[DOS LÍNEAS]
May-2025: disposición de deuda 1,10 M€ como colchón temporal.</x:v>
      </x:c>
      <x:c r="I85" s="328" t="str">
        <x:v>[DOS LÍNEAS]
May-2025: disposición de deuda 1,10 M€ como colchón temporal.</x:v>
      </x:c>
      <x:c r="J85" s="328" t="str">
        <x:v>[DOS LÍNEAS]
May-2025: disposición de deuda 1,10 M€ como colchón temporal.</x:v>
      </x:c>
      <x:c r="K85" s="328" t="str">
        <x:v>[DOS LÍNEAS]
May-2025: disposición de deuda 1,10 M€ como colchón temporal.</x:v>
      </x:c>
      <x:c r="L85" s="328" t="str">
        <x:v>[DOS LÍNEAS]
May-2025: disposición de deuda 1,10 M€ como colchón temporal.</x:v>
      </x:c>
    </x:row>
    <x:row r="86">
      <x:c r="A86" s="328" t="str">
        <x:v>[COLUMNAS + LÍNEA]
CFO · CFI · CFF + efectivo final
Diferencia explícita entre movimientos del mes y saldo acumulado de efectivo.</x:v>
      </x:c>
      <x:c r="B86" s="328" t="str">
        <x:v>[COLUMNAS + LÍNEA]
CFO · CFI · CFF + efectivo final
Diferencia explícita entre movimientos del mes y saldo acumulado de efectivo.</x:v>
      </x:c>
      <x:c r="C86" s="328" t="str">
        <x:v>[COLUMNAS + LÍNEA]
CFO · CFI · CFF + efectivo final
Diferencia explícita entre movimientos del mes y saldo acumulado de efectivo.</x:v>
      </x:c>
      <x:c r="D86" s="328" t="str">
        <x:v>[COLUMNAS + LÍNEA]
CFO · CFI · CFF + efectivo final
Diferencia explícita entre movimientos del mes y saldo acumulado de efectivo.</x:v>
      </x:c>
      <x:c r="E86" s="328" t="str">
        <x:v>[COLUMNAS + LÍNEA]
CFO · CFI · CFF + efectivo final
Diferencia explícita entre movimientos del mes y saldo acumulado de efectivo.</x:v>
      </x:c>
      <x:c r="F86" s="328" t="str">
        <x:v>[COLUMNAS + LÍNEA]
CFO · CFI · CFF + efectivo final
Diferencia explícita entre movimientos del mes y saldo acumulado de efectivo.</x:v>
      </x:c>
      <x:c r="G86" s="328" t="str">
        <x:v>[COLUMNAS + LÍNEA]
CFO · CFI · CFF + efectivo final
Diferencia explícita entre movimientos del mes y saldo acumulado de efectivo.</x:v>
      </x:c>
      <x:c r="H86" s="328" t="str">
        <x:v>[DOS LÍNEAS]
May-2025: disposición de deuda 1,10 M€ como colchón temporal.</x:v>
      </x:c>
      <x:c r="I86" s="328" t="str">
        <x:v>[DOS LÍNEAS]
May-2025: disposición de deuda 1,10 M€ como colchón temporal.</x:v>
      </x:c>
      <x:c r="J86" s="328" t="str">
        <x:v>[DOS LÍNEAS]
May-2025: disposición de deuda 1,10 M€ como colchón temporal.</x:v>
      </x:c>
      <x:c r="K86" s="328" t="str">
        <x:v>[DOS LÍNEAS]
May-2025: disposición de deuda 1,10 M€ como colchón temporal.</x:v>
      </x:c>
      <x:c r="L86" s="328" t="str">
        <x:v>[DOS LÍNEAS]
May-2025: disposición de deuda 1,10 M€ como colchón temporal.</x:v>
      </x:c>
    </x:row>
    <x:row r="87">
      <x:c r="A87" s="328" t="str">
        <x:v>[COLUMNAS + LÍNEA]
CFO · CFI · CFF + efectivo final
Diferencia explícita entre movimientos del mes y saldo acumulado de efectivo.</x:v>
      </x:c>
      <x:c r="B87" s="328" t="str">
        <x:v>[COLUMNAS + LÍNEA]
CFO · CFI · CFF + efectivo final
Diferencia explícita entre movimientos del mes y saldo acumulado de efectivo.</x:v>
      </x:c>
      <x:c r="C87" s="328" t="str">
        <x:v>[COLUMNAS + LÍNEA]
CFO · CFI · CFF + efectivo final
Diferencia explícita entre movimientos del mes y saldo acumulado de efectivo.</x:v>
      </x:c>
      <x:c r="D87" s="328" t="str">
        <x:v>[COLUMNAS + LÍNEA]
CFO · CFI · CFF + efectivo final
Diferencia explícita entre movimientos del mes y saldo acumulado de efectivo.</x:v>
      </x:c>
      <x:c r="E87" s="328" t="str">
        <x:v>[COLUMNAS + LÍNEA]
CFO · CFI · CFF + efectivo final
Diferencia explícita entre movimientos del mes y saldo acumulado de efectivo.</x:v>
      </x:c>
      <x:c r="F87" s="328" t="str">
        <x:v>[COLUMNAS + LÍNEA]
CFO · CFI · CFF + efectivo final
Diferencia explícita entre movimientos del mes y saldo acumulado de efectivo.</x:v>
      </x:c>
      <x:c r="G87" s="328" t="str">
        <x:v>[COLUMNAS + LÍNEA]
CFO · CFI · CFF + efectivo final
Diferencia explícita entre movimientos del mes y saldo acumulado de efectivo.</x:v>
      </x:c>
      <x:c r="H87" s="328" t="str">
        <x:v>[DOS LÍNEAS]
May-2025: disposición de deuda 1,10 M€ como colchón temporal.</x:v>
      </x:c>
      <x:c r="I87" s="328" t="str">
        <x:v>[DOS LÍNEAS]
May-2025: disposición de deuda 1,10 M€ como colchón temporal.</x:v>
      </x:c>
      <x:c r="J87" s="328" t="str">
        <x:v>[DOS LÍNEAS]
May-2025: disposición de deuda 1,10 M€ como colchón temporal.</x:v>
      </x:c>
      <x:c r="K87" s="328" t="str">
        <x:v>[DOS LÍNEAS]
May-2025: disposición de deuda 1,10 M€ como colchón temporal.</x:v>
      </x:c>
      <x:c r="L87" s="328" t="str">
        <x:v>[DOS LÍNEAS]
May-2025: disposición de deuda 1,10 M€ como colchón temporal.</x:v>
      </x:c>
    </x:row>
    <x:row r="88">
      <x:c r="A88" s="328" t="str">
        <x:v>[COLUMNAS + LÍNEA]
CFO · CFI · CFF + efectivo final
Diferencia explícita entre movimientos del mes y saldo acumulado de efectivo.</x:v>
      </x:c>
      <x:c r="B88" s="328" t="str">
        <x:v>[COLUMNAS + LÍNEA]
CFO · CFI · CFF + efectivo final
Diferencia explícita entre movimientos del mes y saldo acumulado de efectivo.</x:v>
      </x:c>
      <x:c r="C88" s="328" t="str">
        <x:v>[COLUMNAS + LÍNEA]
CFO · CFI · CFF + efectivo final
Diferencia explícita entre movimientos del mes y saldo acumulado de efectivo.</x:v>
      </x:c>
      <x:c r="D88" s="328" t="str">
        <x:v>[COLUMNAS + LÍNEA]
CFO · CFI · CFF + efectivo final
Diferencia explícita entre movimientos del mes y saldo acumulado de efectivo.</x:v>
      </x:c>
      <x:c r="E88" s="328" t="str">
        <x:v>[COLUMNAS + LÍNEA]
CFO · CFI · CFF + efectivo final
Diferencia explícita entre movimientos del mes y saldo acumulado de efectivo.</x:v>
      </x:c>
      <x:c r="F88" s="328" t="str">
        <x:v>[COLUMNAS + LÍNEA]
CFO · CFI · CFF + efectivo final
Diferencia explícita entre movimientos del mes y saldo acumulado de efectivo.</x:v>
      </x:c>
      <x:c r="G88" s="328" t="str">
        <x:v>[COLUMNAS + LÍNEA]
CFO · CFI · CFF + efectivo final
Diferencia explícita entre movimientos del mes y saldo acumulado de efectivo.</x:v>
      </x:c>
      <x:c r="H88" s="328" t="str">
        <x:v>[DOS LÍNEAS]
May-2025: disposición de deuda 1,10 M€ como colchón temporal.</x:v>
      </x:c>
      <x:c r="I88" s="328" t="str">
        <x:v>[DOS LÍNEAS]
May-2025: disposición de deuda 1,10 M€ como colchón temporal.</x:v>
      </x:c>
      <x:c r="J88" s="328" t="str">
        <x:v>[DOS LÍNEAS]
May-2025: disposición de deuda 1,10 M€ como colchón temporal.</x:v>
      </x:c>
      <x:c r="K88" s="328" t="str">
        <x:v>[DOS LÍNEAS]
May-2025: disposición de deuda 1,10 M€ como colchón temporal.</x:v>
      </x:c>
      <x:c r="L88" s="328" t="str">
        <x:v>[DOS LÍNEAS]
May-2025: disposición de deuda 1,10 M€ como colchón temporal.</x:v>
      </x:c>
    </x:row>
    <x:row r="89">
      <x:c r="A89" s="328" t="str">
        <x:v>[COLUMNAS + LÍNEA]
CFO · CFI · CFF + efectivo final
Diferencia explícita entre movimientos del mes y saldo acumulado de efectivo.</x:v>
      </x:c>
      <x:c r="B89" s="328" t="str">
        <x:v>[COLUMNAS + LÍNEA]
CFO · CFI · CFF + efectivo final
Diferencia explícita entre movimientos del mes y saldo acumulado de efectivo.</x:v>
      </x:c>
      <x:c r="C89" s="328" t="str">
        <x:v>[COLUMNAS + LÍNEA]
CFO · CFI · CFF + efectivo final
Diferencia explícita entre movimientos del mes y saldo acumulado de efectivo.</x:v>
      </x:c>
      <x:c r="D89" s="328" t="str">
        <x:v>[COLUMNAS + LÍNEA]
CFO · CFI · CFF + efectivo final
Diferencia explícita entre movimientos del mes y saldo acumulado de efectivo.</x:v>
      </x:c>
      <x:c r="E89" s="328" t="str">
        <x:v>[COLUMNAS + LÍNEA]
CFO · CFI · CFF + efectivo final
Diferencia explícita entre movimientos del mes y saldo acumulado de efectivo.</x:v>
      </x:c>
      <x:c r="F89" s="328" t="str">
        <x:v>[COLUMNAS + LÍNEA]
CFO · CFI · CFF + efectivo final
Diferencia explícita entre movimientos del mes y saldo acumulado de efectivo.</x:v>
      </x:c>
      <x:c r="G89" s="328" t="str">
        <x:v>[COLUMNAS + LÍNEA]
CFO · CFI · CFF + efectivo final
Diferencia explícita entre movimientos del mes y saldo acumulado de efectivo.</x:v>
      </x:c>
      <x:c r="H89" s="305"/>
      <x:c r="I89" s="305"/>
      <x:c r="J89" s="305"/>
      <x:c r="K89" s="305"/>
      <x:c r="L89" s="305"/>
    </x:row>
    <x:row r="90">
      <x:c r="A90" s="328" t="str">
        <x:v>[COLUMNAS + LÍNEA]
CFO · CFI · CFF + efectivo final
Diferencia explícita entre movimientos del mes y saldo acumulado de efectivo.</x:v>
      </x:c>
      <x:c r="B90" s="328" t="str">
        <x:v>[COLUMNAS + LÍNEA]
CFO · CFI · CFF + efectivo final
Diferencia explícita entre movimientos del mes y saldo acumulado de efectivo.</x:v>
      </x:c>
      <x:c r="C90" s="328" t="str">
        <x:v>[COLUMNAS + LÍNEA]
CFO · CFI · CFF + efectivo final
Diferencia explícita entre movimientos del mes y saldo acumulado de efectivo.</x:v>
      </x:c>
      <x:c r="D90" s="328" t="str">
        <x:v>[COLUMNAS + LÍNEA]
CFO · CFI · CFF + efectivo final
Diferencia explícita entre movimientos del mes y saldo acumulado de efectivo.</x:v>
      </x:c>
      <x:c r="E90" s="328" t="str">
        <x:v>[COLUMNAS + LÍNEA]
CFO · CFI · CFF + efectivo final
Diferencia explícita entre movimientos del mes y saldo acumulado de efectivo.</x:v>
      </x:c>
      <x:c r="F90" s="328" t="str">
        <x:v>[COLUMNAS + LÍNEA]
CFO · CFI · CFF + efectivo final
Diferencia explícita entre movimientos del mes y saldo acumulado de efectivo.</x:v>
      </x:c>
      <x:c r="G90" s="328" t="str">
        <x:v>[COLUMNAS + LÍNEA]
CFO · CFI · CFF + efectivo final
Diferencia explícita entre movimientos del mes y saldo acumulado de efectivo.</x:v>
      </x:c>
      <x:c r="H90" s="326" t="str">
        <x:v>Inversión y caja después de CAPEX</x:v>
      </x:c>
      <x:c r="I90" s="326" t="str">
        <x:v>Inversión y caja después de CAPEX</x:v>
      </x:c>
      <x:c r="J90" s="326" t="str">
        <x:v>Inversión y caja después de CAPEX</x:v>
      </x:c>
      <x:c r="K90" s="326" t="str">
        <x:v>Inversión y caja después de CAPEX</x:v>
      </x:c>
      <x:c r="L90" s="326" t="str">
        <x:v>Inversión y caja después de CAPEX</x:v>
      </x:c>
    </x:row>
    <x:row r="91">
      <x:c r="A91" s="328" t="str">
        <x:v>[COLUMNAS + LÍNEA]
CFO · CFI · CFF + efectivo final
Diferencia explícita entre movimientos del mes y saldo acumulado de efectivo.</x:v>
      </x:c>
      <x:c r="B91" s="328" t="str">
        <x:v>[COLUMNAS + LÍNEA]
CFO · CFI · CFF + efectivo final
Diferencia explícita entre movimientos del mes y saldo acumulado de efectivo.</x:v>
      </x:c>
      <x:c r="C91" s="328" t="str">
        <x:v>[COLUMNAS + LÍNEA]
CFO · CFI · CFF + efectivo final
Diferencia explícita entre movimientos del mes y saldo acumulado de efectivo.</x:v>
      </x:c>
      <x:c r="D91" s="328" t="str">
        <x:v>[COLUMNAS + LÍNEA]
CFO · CFI · CFF + efectivo final
Diferencia explícita entre movimientos del mes y saldo acumulado de efectivo.</x:v>
      </x:c>
      <x:c r="E91" s="328" t="str">
        <x:v>[COLUMNAS + LÍNEA]
CFO · CFI · CFF + efectivo final
Diferencia explícita entre movimientos del mes y saldo acumulado de efectivo.</x:v>
      </x:c>
      <x:c r="F91" s="328" t="str">
        <x:v>[COLUMNAS + LÍNEA]
CFO · CFI · CFF + efectivo final
Diferencia explícita entre movimientos del mes y saldo acumulado de efectivo.</x:v>
      </x:c>
      <x:c r="G91" s="328" t="str">
        <x:v>[COLUMNAS + LÍNEA]
CFO · CFI · CFF + efectivo final
Diferencia explícita entre movimientos del mes y saldo acumulado de efectivo.</x:v>
      </x:c>
      <x:c r="H91" s="328" t="str">
        <x:v>[COLUMNAS DIVERGENTES]
CAPEX · CFO · FCF
Sep-2026: el FCF negativo es consecuencia de inversión, no una conclusión aislada.</x:v>
      </x:c>
      <x:c r="I91" s="328" t="str">
        <x:v>[COLUMNAS DIVERGENTES]
CAPEX · CFO · FCF
Sep-2026: el FCF negativo es consecuencia de inversión, no una conclusión aislada.</x:v>
      </x:c>
      <x:c r="J91" s="328" t="str">
        <x:v>[COLUMNAS DIVERGENTES]
CAPEX · CFO · FCF
Sep-2026: el FCF negativo es consecuencia de inversión, no una conclusión aislada.</x:v>
      </x:c>
      <x:c r="K91" s="328" t="str">
        <x:v>[COLUMNAS DIVERGENTES]
CAPEX · CFO · FCF
Sep-2026: el FCF negativo es consecuencia de inversión, no una conclusión aislada.</x:v>
      </x:c>
      <x:c r="L91" s="328" t="str">
        <x:v>[COLUMNAS DIVERGENTES]
CAPEX · CFO · FCF
Sep-2026: el FCF negativo es consecuencia de inversión, no una conclusión aislada.</x:v>
      </x:c>
    </x:row>
    <x:row r="92">
      <x:c r="A92" s="328" t="str">
        <x:v>[COLUMNAS + LÍNEA]
CFO · CFI · CFF + efectivo final
Diferencia explícita entre movimientos del mes y saldo acumulado de efectivo.</x:v>
      </x:c>
      <x:c r="B92" s="328" t="str">
        <x:v>[COLUMNAS + LÍNEA]
CFO · CFI · CFF + efectivo final
Diferencia explícita entre movimientos del mes y saldo acumulado de efectivo.</x:v>
      </x:c>
      <x:c r="C92" s="328" t="str">
        <x:v>[COLUMNAS + LÍNEA]
CFO · CFI · CFF + efectivo final
Diferencia explícita entre movimientos del mes y saldo acumulado de efectivo.</x:v>
      </x:c>
      <x:c r="D92" s="328" t="str">
        <x:v>[COLUMNAS + LÍNEA]
CFO · CFI · CFF + efectivo final
Diferencia explícita entre movimientos del mes y saldo acumulado de efectivo.</x:v>
      </x:c>
      <x:c r="E92" s="328" t="str">
        <x:v>[COLUMNAS + LÍNEA]
CFO · CFI · CFF + efectivo final
Diferencia explícita entre movimientos del mes y saldo acumulado de efectivo.</x:v>
      </x:c>
      <x:c r="F92" s="328" t="str">
        <x:v>[COLUMNAS + LÍNEA]
CFO · CFI · CFF + efectivo final
Diferencia explícita entre movimientos del mes y saldo acumulado de efectivo.</x:v>
      </x:c>
      <x:c r="G92" s="328" t="str">
        <x:v>[COLUMNAS + LÍNEA]
CFO · CFI · CFF + efectivo final
Diferencia explícita entre movimientos del mes y saldo acumulado de efectivo.</x:v>
      </x:c>
      <x:c r="H92" s="328" t="str">
        <x:v>[COLUMNAS DIVERGENTES]
CAPEX · CFO · FCF
Sep-2026: el FCF negativo es consecuencia de inversión, no una conclusión aislada.</x:v>
      </x:c>
      <x:c r="I92" s="328" t="str">
        <x:v>[COLUMNAS DIVERGENTES]
CAPEX · CFO · FCF
Sep-2026: el FCF negativo es consecuencia de inversión, no una conclusión aislada.</x:v>
      </x:c>
      <x:c r="J92" s="328" t="str">
        <x:v>[COLUMNAS DIVERGENTES]
CAPEX · CFO · FCF
Sep-2026: el FCF negativo es consecuencia de inversión, no una conclusión aislada.</x:v>
      </x:c>
      <x:c r="K92" s="328" t="str">
        <x:v>[COLUMNAS DIVERGENTES]
CAPEX · CFO · FCF
Sep-2026: el FCF negativo es consecuencia de inversión, no una conclusión aislada.</x:v>
      </x:c>
      <x:c r="L92" s="328" t="str">
        <x:v>[COLUMNAS DIVERGENTES]
CAPEX · CFO · FCF
Sep-2026: el FCF negativo es consecuencia de inversión, no una conclusión aislada.</x:v>
      </x:c>
    </x:row>
    <x:row r="93">
      <x:c r="A93" s="328" t="str">
        <x:v>[COLUMNAS + LÍNEA]
CFO · CFI · CFF + efectivo final
Diferencia explícita entre movimientos del mes y saldo acumulado de efectivo.</x:v>
      </x:c>
      <x:c r="B93" s="328" t="str">
        <x:v>[COLUMNAS + LÍNEA]
CFO · CFI · CFF + efectivo final
Diferencia explícita entre movimientos del mes y saldo acumulado de efectivo.</x:v>
      </x:c>
      <x:c r="C93" s="328" t="str">
        <x:v>[COLUMNAS + LÍNEA]
CFO · CFI · CFF + efectivo final
Diferencia explícita entre movimientos del mes y saldo acumulado de efectivo.</x:v>
      </x:c>
      <x:c r="D93" s="328" t="str">
        <x:v>[COLUMNAS + LÍNEA]
CFO · CFI · CFF + efectivo final
Diferencia explícita entre movimientos del mes y saldo acumulado de efectivo.</x:v>
      </x:c>
      <x:c r="E93" s="328" t="str">
        <x:v>[COLUMNAS + LÍNEA]
CFO · CFI · CFF + efectivo final
Diferencia explícita entre movimientos del mes y saldo acumulado de efectivo.</x:v>
      </x:c>
      <x:c r="F93" s="328" t="str">
        <x:v>[COLUMNAS + LÍNEA]
CFO · CFI · CFF + efectivo final
Diferencia explícita entre movimientos del mes y saldo acumulado de efectivo.</x:v>
      </x:c>
      <x:c r="G93" s="328" t="str">
        <x:v>[COLUMNAS + LÍNEA]
CFO · CFI · CFF + efectivo final
Diferencia explícita entre movimientos del mes y saldo acumulado de efectivo.</x:v>
      </x:c>
      <x:c r="H93" s="328" t="str">
        <x:v>[COLUMNAS DIVERGENTES]
CAPEX · CFO · FCF
Sep-2026: el FCF negativo es consecuencia de inversión, no una conclusión aislada.</x:v>
      </x:c>
      <x:c r="I93" s="328" t="str">
        <x:v>[COLUMNAS DIVERGENTES]
CAPEX · CFO · FCF
Sep-2026: el FCF negativo es consecuencia de inversión, no una conclusión aislada.</x:v>
      </x:c>
      <x:c r="J93" s="328" t="str">
        <x:v>[COLUMNAS DIVERGENTES]
CAPEX · CFO · FCF
Sep-2026: el FCF negativo es consecuencia de inversión, no una conclusión aislada.</x:v>
      </x:c>
      <x:c r="K93" s="328" t="str">
        <x:v>[COLUMNAS DIVERGENTES]
CAPEX · CFO · FCF
Sep-2026: el FCF negativo es consecuencia de inversión, no una conclusión aislada.</x:v>
      </x:c>
      <x:c r="L93" s="328" t="str">
        <x:v>[COLUMNAS DIVERGENTES]
CAPEX · CFO · FCF
Sep-2026: el FCF negativo es consecuencia de inversión, no una conclusión aislada.</x:v>
      </x:c>
    </x:row>
    <x:row r="94">
      <x:c r="A94" s="328" t="str">
        <x:v>[COLUMNAS + LÍNEA]
CFO · CFI · CFF + efectivo final
Diferencia explícita entre movimientos del mes y saldo acumulado de efectivo.</x:v>
      </x:c>
      <x:c r="B94" s="328" t="str">
        <x:v>[COLUMNAS + LÍNEA]
CFO · CFI · CFF + efectivo final
Diferencia explícita entre movimientos del mes y saldo acumulado de efectivo.</x:v>
      </x:c>
      <x:c r="C94" s="328" t="str">
        <x:v>[COLUMNAS + LÍNEA]
CFO · CFI · CFF + efectivo final
Diferencia explícita entre movimientos del mes y saldo acumulado de efectivo.</x:v>
      </x:c>
      <x:c r="D94" s="328" t="str">
        <x:v>[COLUMNAS + LÍNEA]
CFO · CFI · CFF + efectivo final
Diferencia explícita entre movimientos del mes y saldo acumulado de efectivo.</x:v>
      </x:c>
      <x:c r="E94" s="328" t="str">
        <x:v>[COLUMNAS + LÍNEA]
CFO · CFI · CFF + efectivo final
Diferencia explícita entre movimientos del mes y saldo acumulado de efectivo.</x:v>
      </x:c>
      <x:c r="F94" s="328" t="str">
        <x:v>[COLUMNAS + LÍNEA]
CFO · CFI · CFF + efectivo final
Diferencia explícita entre movimientos del mes y saldo acumulado de efectivo.</x:v>
      </x:c>
      <x:c r="G94" s="328" t="str">
        <x:v>[COLUMNAS + LÍNEA]
CFO · CFI · CFF + efectivo final
Diferencia explícita entre movimientos del mes y saldo acumulado de efectivo.</x:v>
      </x:c>
      <x:c r="H94" s="328" t="str">
        <x:v>[COLUMNAS DIVERGENTES]
CAPEX · CFO · FCF
Sep-2026: el FCF negativo es consecuencia de inversión, no una conclusión aislada.</x:v>
      </x:c>
      <x:c r="I94" s="328" t="str">
        <x:v>[COLUMNAS DIVERGENTES]
CAPEX · CFO · FCF
Sep-2026: el FCF negativo es consecuencia de inversión, no una conclusión aislada.</x:v>
      </x:c>
      <x:c r="J94" s="328" t="str">
        <x:v>[COLUMNAS DIVERGENTES]
CAPEX · CFO · FCF
Sep-2026: el FCF negativo es consecuencia de inversión, no una conclusión aislada.</x:v>
      </x:c>
      <x:c r="K94" s="328" t="str">
        <x:v>[COLUMNAS DIVERGENTES]
CAPEX · CFO · FCF
Sep-2026: el FCF negativo es consecuencia de inversión, no una conclusión aislada.</x:v>
      </x:c>
      <x:c r="L94" s="328" t="str">
        <x:v>[COLUMNAS DIVERGENTES]
CAPEX · CFO · FCF
Sep-2026: el FCF negativo es consecuencia de inversión, no una conclusión aislada.</x:v>
      </x:c>
    </x:row>
    <x:row r="95">
      <x:c r="A95" s="305"/>
      <x:c r="B95" s="305"/>
      <x:c r="C95" s="305"/>
      <x:c r="D95" s="305"/>
      <x:c r="E95" s="305"/>
      <x:c r="F95" s="305"/>
      <x:c r="G95" s="305"/>
      <x:c r="H95" s="305"/>
      <x:c r="I95" s="305"/>
      <x:c r="J95" s="305"/>
      <x:c r="K95" s="305"/>
      <x:c r="L95" s="305"/>
    </x:row>
    <x:row r="96">
      <x:c r="A96" s="332" t="str">
        <x:v>Decisión y acción</x:v>
      </x:c>
      <x:c r="B96" s="332" t="str">
        <x:v>Decisión y acción</x:v>
      </x:c>
      <x:c r="C96" s="332" t="str">
        <x:v>Decisión y acción</x:v>
      </x:c>
      <x:c r="D96" s="332" t="str">
        <x:v>Decisión y acción</x:v>
      </x:c>
      <x:c r="E96" s="332" t="str">
        <x:v>Decisión y acción</x:v>
      </x:c>
      <x:c r="F96" s="332" t="str">
        <x:v>Decisión y acción</x:v>
      </x:c>
      <x:c r="G96" s="332" t="str">
        <x:v>Decisión y acción</x:v>
      </x:c>
      <x:c r="H96" s="332" t="str">
        <x:v>Decisión y acción</x:v>
      </x:c>
      <x:c r="I96" s="332" t="str">
        <x:v>Decisión y acción</x:v>
      </x:c>
      <x:c r="J96" s="332" t="str">
        <x:v>Decisión y acción</x:v>
      </x:c>
      <x:c r="K96" s="332" t="str">
        <x:v>Decisión y acción</x:v>
      </x:c>
      <x:c r="L96" s="332" t="str">
        <x:v>Decisión y acción</x:v>
      </x:c>
    </x:row>
    <x:row r="97">
      <x:c r="A97" s="337" t="str">
        <x:v>Definir un colchón mínimo de caja. Con posición financiera neta positiva, comparar amortización de deuda, inversión y reserva de liquidez; no optimizar un ratio de forma aislada.</x:v>
      </x:c>
      <x:c r="B97" s="337" t="str">
        <x:v>Definir un colchón mínimo de caja. Con posición financiera neta positiva, comparar amortización de deuda, inversión y reserva de liquidez; no optimizar un ratio de forma aislada.</x:v>
      </x:c>
      <x:c r="C97" s="337" t="str">
        <x:v>Definir un colchón mínimo de caja. Con posición financiera neta positiva, comparar amortización de deuda, inversión y reserva de liquidez; no optimizar un ratio de forma aislada.</x:v>
      </x:c>
      <x:c r="D97" s="337" t="str">
        <x:v>Definir un colchón mínimo de caja. Con posición financiera neta positiva, comparar amortización de deuda, inversión y reserva de liquidez; no optimizar un ratio de forma aislada.</x:v>
      </x:c>
      <x:c r="E97" s="337" t="str">
        <x:v>Definir un colchón mínimo de caja. Con posición financiera neta positiva, comparar amortización de deuda, inversión y reserva de liquidez; no optimizar un ratio de forma aislada.</x:v>
      </x:c>
      <x:c r="F97" s="337" t="str">
        <x:v>Definir un colchón mínimo de caja. Con posición financiera neta positiva, comparar amortización de deuda, inversión y reserva de liquidez; no optimizar un ratio de forma aislada.</x:v>
      </x:c>
      <x:c r="G97" s="337" t="str">
        <x:v>Definir un colchón mínimo de caja. Con posición financiera neta positiva, comparar amortización de deuda, inversión y reserva de liquidez; no optimizar un ratio de forma aislada.</x:v>
      </x:c>
      <x:c r="H97" s="337" t="str">
        <x:v>Definir un colchón mínimo de caja. Con posición financiera neta positiva, comparar amortización de deuda, inversión y reserva de liquidez; no optimizar un ratio de forma aislada.</x:v>
      </x:c>
      <x:c r="I97" s="337" t="str">
        <x:v>Definir un colchón mínimo de caja. Con posición financiera neta positiva, comparar amortización de deuda, inversión y reserva de liquidez; no optimizar un ratio de forma aislada.</x:v>
      </x:c>
      <x:c r="J97" s="337" t="str">
        <x:v>Definir un colchón mínimo de caja. Con posición financiera neta positiva, comparar amortización de deuda, inversión y reserva de liquidez; no optimizar un ratio de forma aislada.</x:v>
      </x:c>
      <x:c r="K97" s="337" t="str">
        <x:v>Definir un colchón mínimo de caja. Con posición financiera neta positiva, comparar amortización de deuda, inversión y reserva de liquidez; no optimizar un ratio de forma aislada.</x:v>
      </x:c>
      <x:c r="L97" s="337" t="str">
        <x:v>Definir un colchón mínimo de caja. Con posición financiera neta positiva, comparar amortización de deuda, inversión y reserva de liquidez; no optimizar un ratio de forma aislada.</x:v>
      </x:c>
    </x:row>
    <x:row r="98">
      <x:c r="A98" s="337" t="str">
        <x:v>Definir un colchón mínimo de caja. Con posición financiera neta positiva, comparar amortización de deuda, inversión y reserva de liquidez; no optimizar un ratio de forma aislada.</x:v>
      </x:c>
      <x:c r="B98" s="337" t="str">
        <x:v>Definir un colchón mínimo de caja. Con posición financiera neta positiva, comparar amortización de deuda, inversión y reserva de liquidez; no optimizar un ratio de forma aislada.</x:v>
      </x:c>
      <x:c r="C98" s="337" t="str">
        <x:v>Definir un colchón mínimo de caja. Con posición financiera neta positiva, comparar amortización de deuda, inversión y reserva de liquidez; no optimizar un ratio de forma aislada.</x:v>
      </x:c>
      <x:c r="D98" s="337" t="str">
        <x:v>Definir un colchón mínimo de caja. Con posición financiera neta positiva, comparar amortización de deuda, inversión y reserva de liquidez; no optimizar un ratio de forma aislada.</x:v>
      </x:c>
      <x:c r="E98" s="337" t="str">
        <x:v>Definir un colchón mínimo de caja. Con posición financiera neta positiva, comparar amortización de deuda, inversión y reserva de liquidez; no optimizar un ratio de forma aislada.</x:v>
      </x:c>
      <x:c r="F98" s="337" t="str">
        <x:v>Definir un colchón mínimo de caja. Con posición financiera neta positiva, comparar amortización de deuda, inversión y reserva de liquidez; no optimizar un ratio de forma aislada.</x:v>
      </x:c>
      <x:c r="G98" s="337" t="str">
        <x:v>Definir un colchón mínimo de caja. Con posición financiera neta positiva, comparar amortización de deuda, inversión y reserva de liquidez; no optimizar un ratio de forma aislada.</x:v>
      </x:c>
      <x:c r="H98" s="337" t="str">
        <x:v>Definir un colchón mínimo de caja. Con posición financiera neta positiva, comparar amortización de deuda, inversión y reserva de liquidez; no optimizar un ratio de forma aislada.</x:v>
      </x:c>
      <x:c r="I98" s="337" t="str">
        <x:v>Definir un colchón mínimo de caja. Con posición financiera neta positiva, comparar amortización de deuda, inversión y reserva de liquidez; no optimizar un ratio de forma aislada.</x:v>
      </x:c>
      <x:c r="J98" s="337" t="str">
        <x:v>Definir un colchón mínimo de caja. Con posición financiera neta positiva, comparar amortización de deuda, inversión y reserva de liquidez; no optimizar un ratio de forma aislada.</x:v>
      </x:c>
      <x:c r="K98" s="337" t="str">
        <x:v>Definir un colchón mínimo de caja. Con posición financiera neta positiva, comparar amortización de deuda, inversión y reserva de liquidez; no optimizar un ratio de forma aislada.</x:v>
      </x:c>
      <x:c r="L98" s="337" t="str">
        <x:v>Definir un colchón mínimo de caja. Con posición financiera neta positiva, comparar amortización de deuda, inversión y reserva de liquidez; no optimizar un ratio de forma aislada.</x:v>
      </x:c>
    </x:row>
    <x:row r="99">
      <x:c r="A99" s="337" t="str">
        <x:v>Definir un colchón mínimo de caja. Con posición financiera neta positiva, comparar amortización de deuda, inversión y reserva de liquidez; no optimizar un ratio de forma aislada.</x:v>
      </x:c>
      <x:c r="B99" s="337" t="str">
        <x:v>Definir un colchón mínimo de caja. Con posición financiera neta positiva, comparar amortización de deuda, inversión y reserva de liquidez; no optimizar un ratio de forma aislada.</x:v>
      </x:c>
      <x:c r="C99" s="337" t="str">
        <x:v>Definir un colchón mínimo de caja. Con posición financiera neta positiva, comparar amortización de deuda, inversión y reserva de liquidez; no optimizar un ratio de forma aislada.</x:v>
      </x:c>
      <x:c r="D99" s="337" t="str">
        <x:v>Definir un colchón mínimo de caja. Con posición financiera neta positiva, comparar amortización de deuda, inversión y reserva de liquidez; no optimizar un ratio de forma aislada.</x:v>
      </x:c>
      <x:c r="E99" s="337" t="str">
        <x:v>Definir un colchón mínimo de caja. Con posición financiera neta positiva, comparar amortización de deuda, inversión y reserva de liquidez; no optimizar un ratio de forma aislada.</x:v>
      </x:c>
      <x:c r="F99" s="337" t="str">
        <x:v>Definir un colchón mínimo de caja. Con posición financiera neta positiva, comparar amortización de deuda, inversión y reserva de liquidez; no optimizar un ratio de forma aislada.</x:v>
      </x:c>
      <x:c r="G99" s="337" t="str">
        <x:v>Definir un colchón mínimo de caja. Con posición financiera neta positiva, comparar amortización de deuda, inversión y reserva de liquidez; no optimizar un ratio de forma aislada.</x:v>
      </x:c>
      <x:c r="H99" s="337" t="str">
        <x:v>Definir un colchón mínimo de caja. Con posición financiera neta positiva, comparar amortización de deuda, inversión y reserva de liquidez; no optimizar un ratio de forma aislada.</x:v>
      </x:c>
      <x:c r="I99" s="337" t="str">
        <x:v>Definir un colchón mínimo de caja. Con posición financiera neta positiva, comparar amortización de deuda, inversión y reserva de liquidez; no optimizar un ratio de forma aislada.</x:v>
      </x:c>
      <x:c r="J99" s="337" t="str">
        <x:v>Definir un colchón mínimo de caja. Con posición financiera neta positiva, comparar amortización de deuda, inversión y reserva de liquidez; no optimizar un ratio de forma aislada.</x:v>
      </x:c>
      <x:c r="K99" s="337" t="str">
        <x:v>Definir un colchón mínimo de caja. Con posición financiera neta positiva, comparar amortización de deuda, inversión y reserva de liquidez; no optimizar un ratio de forma aislada.</x:v>
      </x:c>
      <x:c r="L99" s="337" t="str">
        <x:v>Definir un colchón mínimo de caja. Con posición financiera neta positiva, comparar amortización de deuda, inversión y reserva de liquidez; no optimizar un ratio de forma aislada.</x:v>
      </x:c>
    </x:row>
    <x:row r="100">
      <x:c r="A100" s="337" t="str">
        <x:v>Definir un colchón mínimo de caja. Con posición financiera neta positiva, comparar amortización de deuda, inversión y reserva de liquidez; no optimizar un ratio de forma aislada.</x:v>
      </x:c>
      <x:c r="B100" s="337" t="str">
        <x:v>Definir un colchón mínimo de caja. Con posición financiera neta positiva, comparar amortización de deuda, inversión y reserva de liquidez; no optimizar un ratio de forma aislada.</x:v>
      </x:c>
      <x:c r="C100" s="337" t="str">
        <x:v>Definir un colchón mínimo de caja. Con posición financiera neta positiva, comparar amortización de deuda, inversión y reserva de liquidez; no optimizar un ratio de forma aislada.</x:v>
      </x:c>
      <x:c r="D100" s="337" t="str">
        <x:v>Definir un colchón mínimo de caja. Con posición financiera neta positiva, comparar amortización de deuda, inversión y reserva de liquidez; no optimizar un ratio de forma aislada.</x:v>
      </x:c>
      <x:c r="E100" s="337" t="str">
        <x:v>Definir un colchón mínimo de caja. Con posición financiera neta positiva, comparar amortización de deuda, inversión y reserva de liquidez; no optimizar un ratio de forma aislada.</x:v>
      </x:c>
      <x:c r="F100" s="337" t="str">
        <x:v>Definir un colchón mínimo de caja. Con posición financiera neta positiva, comparar amortización de deuda, inversión y reserva de liquidez; no optimizar un ratio de forma aislada.</x:v>
      </x:c>
      <x:c r="G100" s="337" t="str">
        <x:v>Definir un colchón mínimo de caja. Con posición financiera neta positiva, comparar amortización de deuda, inversión y reserva de liquidez; no optimizar un ratio de forma aislada.</x:v>
      </x:c>
      <x:c r="H100" s="337" t="str">
        <x:v>Definir un colchón mínimo de caja. Con posición financiera neta positiva, comparar amortización de deuda, inversión y reserva de liquidez; no optimizar un ratio de forma aislada.</x:v>
      </x:c>
      <x:c r="I100" s="337" t="str">
        <x:v>Definir un colchón mínimo de caja. Con posición financiera neta positiva, comparar amortización de deuda, inversión y reserva de liquidez; no optimizar un ratio de forma aislada.</x:v>
      </x:c>
      <x:c r="J100" s="337" t="str">
        <x:v>Definir un colchón mínimo de caja. Con posición financiera neta positiva, comparar amortización de deuda, inversión y reserva de liquidez; no optimizar un ratio de forma aislada.</x:v>
      </x:c>
      <x:c r="K100" s="337" t="str">
        <x:v>Definir un colchón mínimo de caja. Con posición financiera neta positiva, comparar amortización de deuda, inversión y reserva de liquidez; no optimizar un ratio de forma aislada.</x:v>
      </x:c>
      <x:c r="L100" s="337" t="str">
        <x:v>Definir un colchón mínimo de caja. Con posición financiera neta positiva, comparar amortización de deuda, inversión y reserva de liquidez; no optimizar un ratio de forma aislada.</x:v>
      </x:c>
    </x:row>
    <x:row r="101">
      <x:c r="A101" s="305"/>
      <x:c r="B101" s="305"/>
      <x:c r="C101" s="305"/>
      <x:c r="D101" s="305"/>
      <x:c r="E101" s="305"/>
      <x:c r="F101" s="305"/>
      <x:c r="G101" s="305"/>
      <x:c r="H101" s="305"/>
      <x:c r="I101" s="305"/>
      <x:c r="J101" s="305"/>
      <x:c r="K101" s="305"/>
      <x:c r="L101" s="305"/>
    </x:row>
    <x:row r="102">
      <x:c r="A102" s="305"/>
      <x:c r="B102" s="305"/>
      <x:c r="C102" s="305"/>
      <x:c r="D102" s="305"/>
      <x:c r="E102" s="305"/>
      <x:c r="F102" s="305"/>
      <x:c r="G102" s="305"/>
      <x:c r="H102" s="305"/>
      <x:c r="I102" s="305"/>
      <x:c r="J102" s="305"/>
      <x:c r="K102" s="305"/>
      <x:c r="L102" s="305"/>
    </x:row>
    <x:row r="103">
      <x:c r="A103" s="305"/>
      <x:c r="B103" s="305"/>
      <x:c r="C103" s="305"/>
      <x:c r="D103" s="305"/>
      <x:c r="E103" s="305"/>
      <x:c r="F103" s="305"/>
      <x:c r="G103" s="305"/>
      <x:c r="H103" s="305"/>
      <x:c r="I103" s="305"/>
      <x:c r="J103" s="305"/>
      <x:c r="K103" s="305"/>
      <x:c r="L103" s="305"/>
    </x:row>
    <x:row r="104" ht="26" customHeight="1">
      <x:c r="A104" s="262" t="str">
        <x:v>Orden de lectura en móvil</x:v>
      </x:c>
      <x:c r="B104" s="262" t="str">
        <x:v>Orden de lectura en móvil</x:v>
      </x:c>
      <x:c r="C104" s="262" t="str">
        <x:v>Orden de lectura en móvil</x:v>
      </x:c>
      <x:c r="D104" s="262" t="str">
        <x:v>Orden de lectura en móvil</x:v>
      </x:c>
      <x:c r="E104" s="262" t="str">
        <x:v>Orden de lectura en móvil</x:v>
      </x:c>
      <x:c r="F104" s="262" t="str">
        <x:v>Orden de lectura en móvil</x:v>
      </x:c>
      <x:c r="G104" s="262" t="str">
        <x:v>Orden de lectura en móvil</x:v>
      </x:c>
      <x:c r="H104" s="262" t="str">
        <x:v>Orden de lectura en móvil</x:v>
      </x:c>
      <x:c r="I104" s="262" t="str">
        <x:v>Orden de lectura en móvil</x:v>
      </x:c>
      <x:c r="J104" s="262" t="str">
        <x:v>Orden de lectura en móvil</x:v>
      </x:c>
      <x:c r="K104" s="262" t="str">
        <x:v>Orden de lectura en móvil</x:v>
      </x:c>
      <x:c r="L104" s="262" t="str">
        <x:v>Orden de lectura en móvil</x:v>
      </x:c>
    </x:row>
    <x:row r="105">
      <x:c r="A105" s="305"/>
      <x:c r="B105" s="305"/>
      <x:c r="C105" s="305"/>
      <x:c r="D105" s="305"/>
      <x:c r="E105" s="305"/>
      <x:c r="F105" s="305"/>
      <x:c r="G105" s="305"/>
      <x:c r="H105" s="305"/>
      <x:c r="I105" s="305"/>
      <x:c r="J105" s="305"/>
      <x:c r="K105" s="305"/>
      <x:c r="L105" s="305"/>
    </x:row>
    <x:row r="106" ht="34" customHeight="1">
      <x:c r="A106" s="294" t="str">
        <x:v>1</x:v>
      </x:c>
      <x:c r="B106" s="278" t="str">
        <x:v>Pregunta y periodo</x:v>
      </x:c>
      <x:c r="C106" s="278" t="str">
        <x:v>Pregunta y periodo</x:v>
      </x:c>
      <x:c r="D106" s="278" t="str">
        <x:v>Pregunta y periodo</x:v>
      </x:c>
      <x:c r="E106" s="278" t="str">
        <x:v>El lector conoce el contexto antes de interpretar una cifra.</x:v>
      </x:c>
      <x:c r="F106" s="278" t="str">
        <x:v>El lector conoce el contexto antes de interpretar una cifra.</x:v>
      </x:c>
      <x:c r="G106" s="278" t="str">
        <x:v>El lector conoce el contexto antes de interpretar una cifra.</x:v>
      </x:c>
      <x:c r="H106" s="278" t="str">
        <x:v>El lector conoce el contexto antes de interpretar una cifra.</x:v>
      </x:c>
      <x:c r="I106" s="278" t="str">
        <x:v>El lector conoce el contexto antes de interpretar una cifra.</x:v>
      </x:c>
      <x:c r="J106" s="278" t="str">
        <x:v>El lector conoce el contexto antes de interpretar una cifra.</x:v>
      </x:c>
      <x:c r="K106" s="278" t="str">
        <x:v>El lector conoce el contexto antes de interpretar una cifra.</x:v>
      </x:c>
      <x:c r="L106" s="278" t="str">
        <x:v>El lector conoce el contexto antes de interpretar una cifra.</x:v>
      </x:c>
    </x:row>
    <x:row r="107" ht="34" customHeight="1">
      <x:c r="A107" s="294" t="str">
        <x:v>2</x:v>
      </x:c>
      <x:c r="B107" s="278" t="str">
        <x:v>4 KPIs esenciales</x:v>
      </x:c>
      <x:c r="C107" s="278" t="str">
        <x:v>4 KPIs esenciales</x:v>
      </x:c>
      <x:c r="D107" s="278" t="str">
        <x:v>4 KPIs esenciales</x:v>
      </x:c>
      <x:c r="E107" s="278" t="str">
        <x:v>CFO, FCF, efectivo y KPI causal principal de la vista.</x:v>
      </x:c>
      <x:c r="F107" s="278" t="str">
        <x:v>CFO, FCF, efectivo y KPI causal principal de la vista.</x:v>
      </x:c>
      <x:c r="G107" s="278" t="str">
        <x:v>CFO, FCF, efectivo y KPI causal principal de la vista.</x:v>
      </x:c>
      <x:c r="H107" s="278" t="str">
        <x:v>CFO, FCF, efectivo y KPI causal principal de la vista.</x:v>
      </x:c>
      <x:c r="I107" s="278" t="str">
        <x:v>CFO, FCF, efectivo y KPI causal principal de la vista.</x:v>
      </x:c>
      <x:c r="J107" s="278" t="str">
        <x:v>CFO, FCF, efectivo y KPI causal principal de la vista.</x:v>
      </x:c>
      <x:c r="K107" s="278" t="str">
        <x:v>CFO, FCF, efectivo y KPI causal principal de la vista.</x:v>
      </x:c>
      <x:c r="L107" s="278" t="str">
        <x:v>CFO, FCF, efectivo y KPI causal principal de la vista.</x:v>
      </x:c>
    </x:row>
    <x:row r="108" ht="34" customHeight="1">
      <x:c r="A108" s="294" t="str">
        <x:v>3</x:v>
      </x:c>
      <x:c r="B108" s="278" t="str">
        <x:v>Hallazgo</x:v>
      </x:c>
      <x:c r="C108" s="278" t="str">
        <x:v>Hallazgo</x:v>
      </x:c>
      <x:c r="D108" s="278" t="str">
        <x:v>Hallazgo</x:v>
      </x:c>
      <x:c r="E108" s="278" t="str">
        <x:v>Una frase cuantificada con el periodo visible.</x:v>
      </x:c>
      <x:c r="F108" s="278" t="str">
        <x:v>Una frase cuantificada con el periodo visible.</x:v>
      </x:c>
      <x:c r="G108" s="278" t="str">
        <x:v>Una frase cuantificada con el periodo visible.</x:v>
      </x:c>
      <x:c r="H108" s="278" t="str">
        <x:v>Una frase cuantificada con el periodo visible.</x:v>
      </x:c>
      <x:c r="I108" s="278" t="str">
        <x:v>Una frase cuantificada con el periodo visible.</x:v>
      </x:c>
      <x:c r="J108" s="278" t="str">
        <x:v>Una frase cuantificada con el periodo visible.</x:v>
      </x:c>
      <x:c r="K108" s="278" t="str">
        <x:v>Una frase cuantificada con el periodo visible.</x:v>
      </x:c>
      <x:c r="L108" s="278" t="str">
        <x:v>Una frase cuantificada con el periodo visible.</x:v>
      </x:c>
    </x:row>
    <x:row r="109" ht="34" customHeight="1">
      <x:c r="A109" s="294" t="str">
        <x:v>4</x:v>
      </x:c>
      <x:c r="B109" s="278" t="str">
        <x:v>Visual principal</x:v>
      </x:c>
      <x:c r="C109" s="278" t="str">
        <x:v>Visual principal</x:v>
      </x:c>
      <x:c r="D109" s="278" t="str">
        <x:v>Visual principal</x:v>
      </x:c>
      <x:c r="E109" s="278" t="str">
        <x:v>Un gráfico por bloque, sin desplazamiento horizontal.</x:v>
      </x:c>
      <x:c r="F109" s="278" t="str">
        <x:v>Un gráfico por bloque, sin desplazamiento horizontal.</x:v>
      </x:c>
      <x:c r="G109" s="278" t="str">
        <x:v>Un gráfico por bloque, sin desplazamiento horizontal.</x:v>
      </x:c>
      <x:c r="H109" s="278" t="str">
        <x:v>Un gráfico por bloque, sin desplazamiento horizontal.</x:v>
      </x:c>
      <x:c r="I109" s="278" t="str">
        <x:v>Un gráfico por bloque, sin desplazamiento horizontal.</x:v>
      </x:c>
      <x:c r="J109" s="278" t="str">
        <x:v>Un gráfico por bloque, sin desplazamiento horizontal.</x:v>
      </x:c>
      <x:c r="K109" s="278" t="str">
        <x:v>Un gráfico por bloque, sin desplazamiento horizontal.</x:v>
      </x:c>
      <x:c r="L109" s="278" t="str">
        <x:v>Un gráfico por bloque, sin desplazamiento horizontal.</x:v>
      </x:c>
    </x:row>
    <x:row r="110" ht="34" customHeight="1">
      <x:c r="A110" s="294" t="str">
        <x:v>5</x:v>
      </x:c>
      <x:c r="B110" s="278" t="str">
        <x:v>Decisión y límites</x:v>
      </x:c>
      <x:c r="C110" s="278" t="str">
        <x:v>Decisión y límites</x:v>
      </x:c>
      <x:c r="D110" s="278" t="str">
        <x:v>Decisión y límites</x:v>
      </x:c>
      <x:c r="E110" s="278" t="str">
        <x:v>Qué hacer y qué no puede concluirse con los datos.</x:v>
      </x:c>
      <x:c r="F110" s="278" t="str">
        <x:v>Qué hacer y qué no puede concluirse con los datos.</x:v>
      </x:c>
      <x:c r="G110" s="278" t="str">
        <x:v>Qué hacer y qué no puede concluirse con los datos.</x:v>
      </x:c>
      <x:c r="H110" s="278" t="str">
        <x:v>Qué hacer y qué no puede concluirse con los datos.</x:v>
      </x:c>
      <x:c r="I110" s="278" t="str">
        <x:v>Qué hacer y qué no puede concluirse con los datos.</x:v>
      </x:c>
      <x:c r="J110" s="278" t="str">
        <x:v>Qué hacer y qué no puede concluirse con los datos.</x:v>
      </x:c>
      <x:c r="K110" s="278" t="str">
        <x:v>Qué hacer y qué no puede concluirse con los datos.</x:v>
      </x:c>
      <x:c r="L110" s="278" t="str">
        <x:v>Qué hacer y qué no puede concluirse con los datos.</x:v>
      </x:c>
    </x:row>
    <x:row r="111">
      <x:c r="A111" s="305"/>
      <x:c r="B111" s="305"/>
      <x:c r="C111" s="305"/>
      <x:c r="D111" s="305"/>
      <x:c r="E111" s="305"/>
      <x:c r="F111" s="305"/>
      <x:c r="G111" s="305"/>
      <x:c r="H111" s="305"/>
      <x:c r="I111" s="305"/>
      <x:c r="J111" s="305"/>
      <x:c r="K111" s="305"/>
      <x:c r="L111" s="305"/>
    </x:row>
    <x:row r="112">
      <x:c r="A112" s="305"/>
      <x:c r="B112" s="305"/>
      <x:c r="C112" s="305"/>
      <x:c r="D112" s="305"/>
      <x:c r="E112" s="305"/>
      <x:c r="F112" s="305"/>
      <x:c r="G112" s="305"/>
      <x:c r="H112" s="305"/>
      <x:c r="I112" s="305"/>
      <x:c r="J112" s="305"/>
      <x:c r="K112" s="305"/>
      <x:c r="L112" s="305"/>
    </x:row>
    <x:row r="113">
      <x:c r="A113" s="305"/>
      <x:c r="B113" s="305"/>
      <x:c r="C113" s="305"/>
      <x:c r="D113" s="305"/>
      <x:c r="E113" s="305"/>
      <x:c r="F113" s="305"/>
      <x:c r="G113" s="305"/>
      <x:c r="H113" s="305"/>
      <x:c r="I113" s="305"/>
      <x:c r="J113" s="305"/>
      <x:c r="K113" s="305"/>
      <x:c r="L113" s="305"/>
    </x:row>
    <x:row r="114">
      <x:c r="A114" s="305"/>
      <x:c r="B114" s="305"/>
      <x:c r="C114" s="305"/>
      <x:c r="D114" s="305"/>
      <x:c r="E114" s="305"/>
      <x:c r="F114" s="305"/>
      <x:c r="G114" s="305"/>
      <x:c r="H114" s="305"/>
      <x:c r="I114" s="305"/>
      <x:c r="J114" s="305"/>
      <x:c r="K114" s="305"/>
      <x:c r="L114" s="305"/>
    </x:row>
    <x:row r="115">
      <x:c r="A115" s="305"/>
      <x:c r="B115" s="305"/>
      <x:c r="C115" s="305"/>
      <x:c r="D115" s="305"/>
      <x:c r="E115" s="305"/>
      <x:c r="F115" s="305"/>
      <x:c r="G115" s="305"/>
      <x:c r="H115" s="305"/>
      <x:c r="I115" s="305"/>
      <x:c r="J115" s="305"/>
      <x:c r="K115" s="305"/>
      <x:c r="L115" s="305"/>
    </x:row>
    <x:row r="116">
      <x:c r="A116" s="305"/>
      <x:c r="B116" s="305"/>
      <x:c r="C116" s="305"/>
      <x:c r="D116" s="305"/>
      <x:c r="E116" s="305"/>
      <x:c r="F116" s="305"/>
      <x:c r="G116" s="305"/>
      <x:c r="H116" s="305"/>
      <x:c r="I116" s="305"/>
      <x:c r="J116" s="305"/>
      <x:c r="K116" s="305"/>
      <x:c r="L116" s="305"/>
    </x:row>
    <x:row r="117">
      <x:c r="A117" s="305"/>
      <x:c r="B117" s="305"/>
      <x:c r="C117" s="305"/>
      <x:c r="D117" s="305"/>
      <x:c r="E117" s="305"/>
      <x:c r="F117" s="305"/>
      <x:c r="G117" s="305"/>
      <x:c r="H117" s="305"/>
      <x:c r="I117" s="305"/>
      <x:c r="J117" s="305"/>
      <x:c r="K117" s="305"/>
      <x:c r="L117" s="305"/>
    </x:row>
    <x:row r="118">
      <x:c r="A118" s="305"/>
      <x:c r="B118" s="305"/>
      <x:c r="C118" s="305"/>
      <x:c r="D118" s="305"/>
      <x:c r="E118" s="305"/>
      <x:c r="F118" s="305"/>
      <x:c r="G118" s="305"/>
      <x:c r="H118" s="305"/>
      <x:c r="I118" s="305"/>
      <x:c r="J118" s="305"/>
      <x:c r="K118" s="305"/>
      <x:c r="L118" s="305"/>
    </x:row>
  </x:sheetData>
  <x:mergeCells>
    <x:mergeCell ref="A1:L1"/>
    <x:mergeCell ref="A2:L2"/>
    <x:mergeCell ref="A4:D4"/>
    <x:mergeCell ref="E4:H4"/>
    <x:mergeCell ref="I4:J4"/>
    <x:mergeCell ref="K4:L4"/>
    <x:mergeCell ref="A6:C6"/>
    <x:mergeCell ref="A7:C8"/>
    <x:mergeCell ref="A9:C9"/>
    <x:mergeCell ref="D6:F6"/>
    <x:mergeCell ref="D7:F8"/>
    <x:mergeCell ref="D9:F9"/>
    <x:mergeCell ref="G6:I6"/>
    <x:mergeCell ref="G7:I8"/>
    <x:mergeCell ref="G9:I9"/>
    <x:mergeCell ref="J6:L6"/>
    <x:mergeCell ref="J7:L8"/>
    <x:mergeCell ref="J9:L9"/>
    <x:mergeCell ref="A11:C11"/>
    <x:mergeCell ref="A12:C13"/>
    <x:mergeCell ref="A14:C14"/>
    <x:mergeCell ref="D11:F11"/>
    <x:mergeCell ref="D12:F13"/>
    <x:mergeCell ref="D14:F14"/>
    <x:mergeCell ref="G11:I11"/>
    <x:mergeCell ref="G12:I13"/>
    <x:mergeCell ref="G14:I14"/>
    <x:mergeCell ref="J11:L11"/>
    <x:mergeCell ref="J12:L13"/>
    <x:mergeCell ref="J14:L14"/>
    <x:mergeCell ref="A16:G16"/>
    <x:mergeCell ref="A17:G26"/>
    <x:mergeCell ref="H16:L16"/>
    <x:mergeCell ref="H17:L21"/>
    <x:mergeCell ref="H23:L23"/>
    <x:mergeCell ref="H24:L26"/>
    <x:mergeCell ref="A31:L31"/>
    <x:mergeCell ref="A32:L32"/>
    <x:mergeCell ref="A34:D34"/>
    <x:mergeCell ref="E34:H34"/>
    <x:mergeCell ref="I34:J34"/>
    <x:mergeCell ref="K34:L34"/>
    <x:mergeCell ref="A36:C36"/>
    <x:mergeCell ref="A37:C38"/>
    <x:mergeCell ref="A39:C39"/>
    <x:mergeCell ref="D36:F36"/>
    <x:mergeCell ref="D37:F38"/>
    <x:mergeCell ref="D39:F39"/>
    <x:mergeCell ref="G36:I36"/>
    <x:mergeCell ref="G37:I38"/>
    <x:mergeCell ref="G39:I39"/>
    <x:mergeCell ref="J36:L36"/>
    <x:mergeCell ref="J37:L38"/>
    <x:mergeCell ref="J39:L39"/>
    <x:mergeCell ref="A41:C41"/>
    <x:mergeCell ref="A42:C43"/>
    <x:mergeCell ref="A44:C44"/>
    <x:mergeCell ref="D41:F41"/>
    <x:mergeCell ref="D42:F43"/>
    <x:mergeCell ref="D44:F44"/>
    <x:mergeCell ref="G41:I41"/>
    <x:mergeCell ref="G42:I43"/>
    <x:mergeCell ref="G44:I44"/>
    <x:mergeCell ref="J41:L41"/>
    <x:mergeCell ref="J42:L43"/>
    <x:mergeCell ref="J44:L44"/>
    <x:mergeCell ref="A46:G46"/>
    <x:mergeCell ref="A47:G58"/>
    <x:mergeCell ref="H46:L46"/>
    <x:mergeCell ref="H47:L52"/>
    <x:mergeCell ref="H54:L54"/>
    <x:mergeCell ref="H55:L58"/>
    <x:mergeCell ref="A60:L60"/>
    <x:mergeCell ref="A61:L63"/>
    <x:mergeCell ref="A68:L68"/>
    <x:mergeCell ref="A69:L69"/>
    <x:mergeCell ref="A71:D71"/>
    <x:mergeCell ref="E71:H71"/>
    <x:mergeCell ref="I71:J71"/>
    <x:mergeCell ref="K71:L71"/>
    <x:mergeCell ref="A73:C73"/>
    <x:mergeCell ref="A74:C75"/>
    <x:mergeCell ref="A76:C76"/>
    <x:mergeCell ref="D73:F73"/>
    <x:mergeCell ref="D74:F75"/>
    <x:mergeCell ref="D76:F76"/>
    <x:mergeCell ref="G73:I73"/>
    <x:mergeCell ref="G74:I75"/>
    <x:mergeCell ref="G76:I76"/>
    <x:mergeCell ref="J73:L73"/>
    <x:mergeCell ref="J74:L75"/>
    <x:mergeCell ref="J76:L76"/>
    <x:mergeCell ref="A78:C78"/>
    <x:mergeCell ref="A79:C80"/>
    <x:mergeCell ref="A81:C81"/>
    <x:mergeCell ref="D78:F78"/>
    <x:mergeCell ref="D79:F80"/>
    <x:mergeCell ref="D81:F81"/>
    <x:mergeCell ref="G78:I78"/>
    <x:mergeCell ref="G79:I80"/>
    <x:mergeCell ref="G81:I81"/>
    <x:mergeCell ref="J78:L78"/>
    <x:mergeCell ref="J79:L80"/>
    <x:mergeCell ref="J81:L81"/>
    <x:mergeCell ref="A83:G83"/>
    <x:mergeCell ref="A84:G94"/>
    <x:mergeCell ref="H83:L83"/>
    <x:mergeCell ref="H84:L88"/>
    <x:mergeCell ref="H90:L90"/>
    <x:mergeCell ref="H91:L94"/>
    <x:mergeCell ref="A96:L96"/>
    <x:mergeCell ref="A97:L100"/>
    <x:mergeCell ref="A104:L104"/>
    <x:mergeCell ref="B106:D106"/>
    <x:mergeCell ref="E106:L106"/>
    <x:mergeCell ref="B107:D107"/>
    <x:mergeCell ref="E107:L107"/>
    <x:mergeCell ref="B108:D108"/>
    <x:mergeCell ref="E108:L108"/>
    <x:mergeCell ref="B109:D109"/>
    <x:mergeCell ref="E109:L109"/>
    <x:mergeCell ref="B110:D110"/>
    <x:mergeCell ref="E110:L110"/>
  </x:mergeCells>
  <x:pageMargins left="0.7" right="0.7" top="0.75" bottom="0.75" header="0.3" footer="0.3"/>
</x:worksheet>
</file>